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kko\Documents\AURA\Carefree\25-12 Month End\25-12 Month End\"/>
    </mc:Choice>
  </mc:AlternateContent>
  <xr:revisionPtr revIDLastSave="0" documentId="13_ncr:1_{AEFFE03D-0D7D-4168-A261-26546090D696}" xr6:coauthVersionLast="47" xr6:coauthVersionMax="47" xr10:uidLastSave="{00000000-0000-0000-0000-000000000000}"/>
  <bookViews>
    <workbookView xWindow="28680" yWindow="-120" windowWidth="29040" windowHeight="15720" firstSheet="4" activeTab="7" xr2:uid="{91A41097-3DE3-4E48-B721-CD95D6F7F6AE}"/>
  </bookViews>
  <sheets>
    <sheet name="Docket" sheetId="108" state="hidden" r:id="rId1"/>
    <sheet name="Notes" sheetId="107" state="hidden" r:id="rId2"/>
    <sheet name="Access List" sheetId="133" r:id="rId3"/>
    <sheet name="Contact List" sheetId="134" r:id="rId4"/>
    <sheet name="TB Match" sheetId="58" r:id="rId5"/>
    <sheet name="10000 - BofA CHK 1020" sheetId="3" r:id="rId6"/>
    <sheet name="11000 Accounts Receivable" sheetId="124" r:id="rId7"/>
    <sheet name="11600 - Prepaid Expenses" sheetId="136" r:id="rId8"/>
    <sheet name="11600 - Prepaid Expenses (OLD)" sheetId="112" state="hidden" r:id="rId9"/>
    <sheet name="15500-Acc Depreciation" sheetId="111" r:id="rId10"/>
    <sheet name="17000 - Goodwill" sheetId="109" r:id="rId11"/>
    <sheet name="21000 - Accrued Expenses" sheetId="102" r:id="rId12"/>
    <sheet name="Sheet1" sheetId="130" state="hidden" r:id="rId13"/>
    <sheet name="Sales commission detail" sheetId="127" state="hidden" r:id="rId14"/>
    <sheet name="21050 - Accrued Interest" sheetId="122" r:id="rId15"/>
    <sheet name="21100 - Accrued Payroll" sheetId="113" r:id="rId16"/>
    <sheet name="21125 - Unearned Revenue" sheetId="126" r:id="rId17"/>
    <sheet name="21300 - Due to.from Socal" sheetId="129" r:id="rId18"/>
    <sheet name="Loan pmt Breakdown" sheetId="128" state="hidden" r:id="rId19"/>
    <sheet name="21350 - Insurance Payable" sheetId="125" state="hidden" r:id="rId20"/>
    <sheet name="23500 - Insurance Payable" sheetId="135" r:id="rId21"/>
    <sheet name="22000 &amp; 23000 - Axopar Suntop37" sheetId="115" r:id="rId22"/>
    <sheet name="22050 &amp; 23050 - Beneteau" sheetId="116" r:id="rId23"/>
    <sheet name="22300 &amp; 23300 - Axopar T-TOP28" sheetId="120" r:id="rId24"/>
    <sheet name="22100 &amp; 23100 -Manitou (Stacey)" sheetId="117" r:id="rId25"/>
    <sheet name="22150 &amp; 23150 - Scott Tiernan" sheetId="118" r:id="rId26"/>
    <sheet name="22250 &amp; 23250 - NX 340" sheetId="119" r:id="rId27"/>
    <sheet name="23350 - CCJ True Loan" sheetId="131" r:id="rId28"/>
    <sheet name="23400 - CCJ True Loan (2)" sheetId="132" r:id="rId29"/>
  </sheets>
  <externalReferences>
    <externalReference r:id="rId30"/>
    <externalReference r:id="rId31"/>
    <externalReference r:id="rId32"/>
  </externalReferences>
  <definedNames>
    <definedName name="_xlnm._FilterDatabase" localSheetId="9" hidden="1">'15500-Acc Depreciation'!$C$1:$BG$62</definedName>
    <definedName name="_xlnm._FilterDatabase" localSheetId="16" hidden="1">'21125 - Unearned Revenue'!$A$3:$DE$3</definedName>
    <definedName name="_Key1" localSheetId="6" hidden="1">#REF!</definedName>
    <definedName name="_Key1" localSheetId="9" hidden="1">#REF!</definedName>
    <definedName name="_Key1" localSheetId="16" hidden="1">#REF!</definedName>
    <definedName name="_Key1" hidden="1">#REF!</definedName>
    <definedName name="_Key2" localSheetId="6" hidden="1">#REF!</definedName>
    <definedName name="_Key2" localSheetId="9" hidden="1">#REF!</definedName>
    <definedName name="_Key2" localSheetId="16" hidden="1">#REF!</definedName>
    <definedName name="_Key2" hidden="1">#REF!</definedName>
    <definedName name="_Order1" hidden="1">255</definedName>
    <definedName name="_Order2" hidden="1">0</definedName>
    <definedName name="_Sort" localSheetId="6" hidden="1">#REF!</definedName>
    <definedName name="_Sort" localSheetId="9" hidden="1">#REF!</definedName>
    <definedName name="_Sort" localSheetId="16" hidden="1">#REF!</definedName>
    <definedName name="_Sort" hidden="1">#REF!</definedName>
    <definedName name="a" localSheetId="6" hidden="1">#REF!</definedName>
    <definedName name="a" localSheetId="9" hidden="1">#REF!</definedName>
    <definedName name="a" localSheetId="16" hidden="1">#REF!</definedName>
    <definedName name="a" hidden="1">#REF!</definedName>
    <definedName name="Company_Name" localSheetId="20">#REF!</definedName>
    <definedName name="Company_Name">[1]Dashboard!$B$2</definedName>
    <definedName name="d" localSheetId="6" hidden="1">#REF!</definedName>
    <definedName name="d" localSheetId="9" hidden="1">#REF!</definedName>
    <definedName name="d" localSheetId="16" hidden="1">#REF!</definedName>
    <definedName name="d" hidden="1">#REF!</definedName>
    <definedName name="LF" localSheetId="6">#REF!</definedName>
    <definedName name="LF" localSheetId="16">#REF!</definedName>
    <definedName name="LF">#REF!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ked" localSheetId="6">#REF!</definedName>
    <definedName name="locked" localSheetId="9">#REF!</definedName>
    <definedName name="locked" localSheetId="16">#REF!</definedName>
    <definedName name="locked">#REF!</definedName>
    <definedName name="MPM" localSheetId="6">#REF!</definedName>
    <definedName name="MPM" localSheetId="9">#REF!</definedName>
    <definedName name="MPM" localSheetId="16">#REF!</definedName>
    <definedName name="MPM">#REF!</definedName>
    <definedName name="_xlnm.Print_Area" localSheetId="6">#REF!</definedName>
    <definedName name="_xlnm.Print_Area" localSheetId="9">#REF!</definedName>
    <definedName name="_xlnm.Print_Area" localSheetId="16">#REF!</definedName>
    <definedName name="_xlnm.Print_Area" localSheetId="1">Notes!$A$1:$H$40</definedName>
    <definedName name="_xlnm.Print_Area">#REF!</definedName>
    <definedName name="_xlnm.Print_Titles" localSheetId="4">'TB Match'!#REF!,'TB Match'!$1:$1</definedName>
    <definedName name="_xlnm.Print_Titles">#N/A</definedName>
    <definedName name="QB_COLUMN_29" localSheetId="4" hidden="1">'TB Match'!$B$1</definedName>
    <definedName name="QB_DATA_0" localSheetId="4" hidden="1">'TB Match'!#REF!,'TB Match'!#REF!,'TB Match'!$16:$16,'TB Match'!#REF!,'TB Match'!#REF!,'TB Match'!#REF!,'TB Match'!#REF!,'TB Match'!$30:$30,'TB Match'!$31:$31,'TB Match'!#REF!,'TB Match'!$41:$41,'TB Match'!$42:$42,'TB Match'!#REF!,'TB Match'!#REF!,'TB Match'!$44:$44,'TB Match'!$47:$47</definedName>
    <definedName name="QB_DATA_1" localSheetId="4" hidden="1">'TB Match'!#REF!,'TB Match'!#REF!,'TB Match'!$54:$54,'TB Match'!$55:$55,'TB Match'!$56:$56,'TB Match'!$57:$57,'TB Match'!$58:$58,'TB Match'!$61:$61,'TB Match'!#REF!,'TB Match'!#REF!,'TB Match'!#REF!,'TB Match'!#REF!,'TB Match'!#REF!,'TB Match'!$73:$73,'TB Match'!#REF!,'TB Match'!$76:$76</definedName>
    <definedName name="QB_DATA_2" localSheetId="4" hidden="1">'TB Match'!#REF!,'TB Match'!#REF!,'TB Match'!#REF!,'TB Match'!#REF!,'TB Match'!$93:$93,'TB Match'!#REF!,'TB Match'!$96:$96,'TB Match'!$97:$97,'TB Match'!$98:$98,'TB Match'!$100:$100,'TB Match'!$101:$101,'TB Match'!$102:$102,'TB Match'!$108:$108,'TB Match'!$110:$110,'TB Match'!$111:$111,'TB Match'!$115:$115</definedName>
    <definedName name="QB_DATA_3" localSheetId="4" hidden="1">'TB Match'!$116:$116</definedName>
    <definedName name="QB_FORMULA_0" localSheetId="4" hidden="1">'TB Match'!#REF!,'TB Match'!#REF!,'TB Match'!#REF!,'TB Match'!#REF!,'TB Match'!#REF!,'TB Match'!#REF!,'TB Match'!#REF!,'TB Match'!#REF!,'TB Match'!#REF!,'TB Match'!#REF!,'TB Match'!#REF!,'TB Match'!#REF!,'TB Match'!#REF!,'TB Match'!#REF!,'TB Match'!#REF!,'TB Match'!#REF!</definedName>
    <definedName name="QB_FORMULA_1" localSheetId="4" hidden="1">'TB Match'!#REF!,'TB Match'!#REF!,'TB Match'!#REF!,'TB Match'!#REF!,'TB Match'!#REF!,'TB Match'!#REF!,'TB Match'!#REF!,'TB Match'!#REF!,'TB Match'!#REF!,'TB Match'!#REF!,'TB Match'!#REF!,'TB Match'!#REF!,'TB Match'!#REF!</definedName>
    <definedName name="QB_ROW_1" localSheetId="4" hidden="1">'TB Match'!#REF!</definedName>
    <definedName name="QB_ROW_10031" localSheetId="4" hidden="1">'TB Match'!#REF!</definedName>
    <definedName name="QB_ROW_1011" localSheetId="4" hidden="1">'TB Match'!#REF!</definedName>
    <definedName name="QB_ROW_10331" localSheetId="4" hidden="1">'TB Match'!#REF!</definedName>
    <definedName name="QB_ROW_104240" localSheetId="4" hidden="1">'TB Match'!#REF!</definedName>
    <definedName name="QB_ROW_106250" localSheetId="4" hidden="1">'TB Match'!#REF!</definedName>
    <definedName name="QB_ROW_108250" localSheetId="4" hidden="1">'TB Match'!#REF!</definedName>
    <definedName name="QB_ROW_110250" localSheetId="4" hidden="1">'TB Match'!#REF!</definedName>
    <definedName name="QB_ROW_11031" localSheetId="4" hidden="1">'TB Match'!#REF!</definedName>
    <definedName name="QB_ROW_11250" localSheetId="4" hidden="1">'TB Match'!#REF!</definedName>
    <definedName name="QB_ROW_11331" localSheetId="4" hidden="1">'TB Match'!#REF!</definedName>
    <definedName name="QB_ROW_12031" localSheetId="4" hidden="1">'TB Match'!#REF!</definedName>
    <definedName name="QB_ROW_122250" localSheetId="4" hidden="1">'TB Match'!#REF!</definedName>
    <definedName name="QB_ROW_123250" localSheetId="4" hidden="1">'TB Match'!#REF!</definedName>
    <definedName name="QB_ROW_12331" localSheetId="4" hidden="1">'TB Match'!#REF!</definedName>
    <definedName name="QB_ROW_13021" localSheetId="4" hidden="1">'TB Match'!#REF!</definedName>
    <definedName name="QB_ROW_130230" localSheetId="4" hidden="1">'TB Match'!#REF!</definedName>
    <definedName name="QB_ROW_1311" localSheetId="4" hidden="1">'TB Match'!#REF!</definedName>
    <definedName name="QB_ROW_131230" localSheetId="4" hidden="1">'TB Match'!#REF!</definedName>
    <definedName name="QB_ROW_13321" localSheetId="4" hidden="1">'TB Match'!#REF!</definedName>
    <definedName name="QB_ROW_13340" localSheetId="4" hidden="1">'TB Match'!#REF!</definedName>
    <definedName name="QB_ROW_134230" localSheetId="4" hidden="1">'TB Match'!#REF!</definedName>
    <definedName name="QB_ROW_136240" localSheetId="4" hidden="1">'TB Match'!#REF!</definedName>
    <definedName name="QB_ROW_137030" localSheetId="4" hidden="1">'TB Match'!#REF!</definedName>
    <definedName name="QB_ROW_137240" localSheetId="4" hidden="1">'TB Match'!#REF!</definedName>
    <definedName name="QB_ROW_137330" localSheetId="4" hidden="1">'TB Match'!#REF!</definedName>
    <definedName name="QB_ROW_14011" localSheetId="4" hidden="1">'TB Match'!#REF!</definedName>
    <definedName name="QB_ROW_14311" localSheetId="4" hidden="1">'TB Match'!#REF!</definedName>
    <definedName name="QB_ROW_17221" localSheetId="4" hidden="1">'TB Match'!#REF!</definedName>
    <definedName name="QB_ROW_18340" localSheetId="4" hidden="1">'TB Match'!#REF!</definedName>
    <definedName name="QB_ROW_2021" localSheetId="4" hidden="1">'TB Match'!#REF!</definedName>
    <definedName name="QB_ROW_2220" localSheetId="4" hidden="1">'TB Match'!#REF!</definedName>
    <definedName name="QB_ROW_2321" localSheetId="4" hidden="1">'TB Match'!#REF!</definedName>
    <definedName name="QB_ROW_293030" localSheetId="4" hidden="1">'TB Match'!#REF!</definedName>
    <definedName name="QB_ROW_293330" localSheetId="4" hidden="1">'TB Match'!#REF!</definedName>
    <definedName name="QB_ROW_294030" localSheetId="4" hidden="1">'TB Match'!#REF!</definedName>
    <definedName name="QB_ROW_294330" localSheetId="4" hidden="1">'TB Match'!#REF!</definedName>
    <definedName name="QB_ROW_295030" localSheetId="4" hidden="1">'TB Match'!#REF!</definedName>
    <definedName name="QB_ROW_295330" localSheetId="4" hidden="1">'TB Match'!#REF!</definedName>
    <definedName name="QB_ROW_297030" localSheetId="4" hidden="1">'TB Match'!#REF!</definedName>
    <definedName name="QB_ROW_297330" localSheetId="4" hidden="1">'TB Match'!#REF!</definedName>
    <definedName name="QB_ROW_298030" localSheetId="4" hidden="1">'TB Match'!#REF!</definedName>
    <definedName name="QB_ROW_298330" localSheetId="4" hidden="1">'TB Match'!#REF!</definedName>
    <definedName name="QB_ROW_299240" localSheetId="4" hidden="1">'TB Match'!#REF!</definedName>
    <definedName name="QB_ROW_300220" localSheetId="4" hidden="1">'TB Match'!#REF!</definedName>
    <definedName name="QB_ROW_301" localSheetId="4" hidden="1">'TB Match'!#REF!</definedName>
    <definedName name="QB_ROW_301020" localSheetId="4" hidden="1">'TB Match'!#REF!</definedName>
    <definedName name="QB_ROW_301320" localSheetId="4" hidden="1">'TB Match'!#REF!</definedName>
    <definedName name="QB_ROW_3021" localSheetId="4" hidden="1">'TB Match'!#REF!</definedName>
    <definedName name="QB_ROW_303340" localSheetId="4" hidden="1">'TB Match'!#REF!</definedName>
    <definedName name="QB_ROW_30340" localSheetId="4" hidden="1">'TB Match'!#REF!</definedName>
    <definedName name="QB_ROW_304340" localSheetId="4" hidden="1">'TB Match'!#REF!</definedName>
    <definedName name="QB_ROW_306040" localSheetId="4" hidden="1">'TB Match'!#REF!</definedName>
    <definedName name="QB_ROW_306340" localSheetId="4" hidden="1">'TB Match'!#REF!</definedName>
    <definedName name="QB_ROW_307040" localSheetId="4" hidden="1">'TB Match'!#REF!</definedName>
    <definedName name="QB_ROW_307340" localSheetId="4" hidden="1">'TB Match'!#REF!</definedName>
    <definedName name="QB_ROW_308040" localSheetId="4" hidden="1">'TB Match'!#REF!</definedName>
    <definedName name="QB_ROW_308340" localSheetId="4" hidden="1">'TB Match'!#REF!</definedName>
    <definedName name="QB_ROW_309020" localSheetId="4" hidden="1">'TB Match'!#REF!</definedName>
    <definedName name="QB_ROW_309320" localSheetId="4" hidden="1">'TB Match'!#REF!</definedName>
    <definedName name="QB_ROW_3230" localSheetId="4" hidden="1">'TB Match'!#REF!</definedName>
    <definedName name="QB_ROW_3321" localSheetId="4" hidden="1">'TB Match'!#REF!</definedName>
    <definedName name="QB_ROW_333240" localSheetId="4" hidden="1">'TB Match'!#REF!</definedName>
    <definedName name="QB_ROW_334230" localSheetId="4" hidden="1">'TB Match'!#REF!</definedName>
    <definedName name="QB_ROW_335250" localSheetId="4" hidden="1">'TB Match'!#REF!</definedName>
    <definedName name="QB_ROW_336040" localSheetId="4" hidden="1">'TB Match'!#REF!</definedName>
    <definedName name="QB_ROW_336340" localSheetId="4" hidden="1">'TB Match'!#REF!</definedName>
    <definedName name="QB_ROW_337250" localSheetId="4" hidden="1">'TB Match'!#REF!</definedName>
    <definedName name="QB_ROW_37240" localSheetId="4" hidden="1">'TB Match'!#REF!</definedName>
    <definedName name="QB_ROW_38240" localSheetId="4" hidden="1">'TB Match'!#REF!</definedName>
    <definedName name="QB_ROW_39240" localSheetId="4" hidden="1">'TB Match'!#REF!</definedName>
    <definedName name="QB_ROW_4021" localSheetId="4" hidden="1">'TB Match'!#REF!</definedName>
    <definedName name="QB_ROW_41030" localSheetId="4" hidden="1">'TB Match'!#REF!</definedName>
    <definedName name="QB_ROW_41330" localSheetId="4" hidden="1">'TB Match'!#REF!</definedName>
    <definedName name="QB_ROW_4321" localSheetId="4" hidden="1">'TB Match'!#REF!</definedName>
    <definedName name="QB_ROW_45240" localSheetId="4" hidden="1">'TB Match'!#REF!</definedName>
    <definedName name="QB_ROW_48240" localSheetId="4" hidden="1">'TB Match'!#REF!</definedName>
    <definedName name="QB_ROW_49240" localSheetId="4" hidden="1">'TB Match'!#REF!</definedName>
    <definedName name="QB_ROW_5011" localSheetId="4" hidden="1">'TB Match'!#REF!</definedName>
    <definedName name="QB_ROW_50240" localSheetId="4" hidden="1">'TB Match'!#REF!</definedName>
    <definedName name="QB_ROW_5311" localSheetId="4" hidden="1">'TB Match'!#REF!</definedName>
    <definedName name="QB_ROW_60230" localSheetId="4" hidden="1">'TB Match'!#REF!</definedName>
    <definedName name="QB_ROW_61230" localSheetId="4" hidden="1">'TB Match'!#REF!</definedName>
    <definedName name="QB_ROW_62230" localSheetId="4" hidden="1">'TB Match'!#REF!</definedName>
    <definedName name="QB_ROW_6240" localSheetId="4" hidden="1">'TB Match'!#REF!</definedName>
    <definedName name="QB_ROW_63230" localSheetId="4" hidden="1">'TB Match'!#REF!</definedName>
    <definedName name="QB_ROW_64230" localSheetId="4" hidden="1">'TB Match'!#REF!</definedName>
    <definedName name="QB_ROW_66040" localSheetId="4" hidden="1">'TB Match'!#REF!</definedName>
    <definedName name="QB_ROW_66250" localSheetId="4" hidden="1">'TB Match'!#REF!</definedName>
    <definedName name="QB_ROW_66340" localSheetId="4" hidden="1">'TB Match'!#REF!</definedName>
    <definedName name="QB_ROW_68350" localSheetId="4" hidden="1">'TB Match'!#REF!</definedName>
    <definedName name="QB_ROW_7001" localSheetId="4" hidden="1">'TB Match'!#REF!</definedName>
    <definedName name="QB_ROW_7240" localSheetId="4" hidden="1">'TB Match'!#REF!</definedName>
    <definedName name="QB_ROW_7301" localSheetId="4" hidden="1">'TB Match'!#REF!</definedName>
    <definedName name="QB_ROW_73340" localSheetId="4" hidden="1">'TB Match'!#REF!</definedName>
    <definedName name="QB_ROW_8011" localSheetId="4" hidden="1">'TB Match'!#REF!</definedName>
    <definedName name="QB_ROW_8250" localSheetId="4" hidden="1">'TB Match'!#REF!</definedName>
    <definedName name="QB_ROW_8311" localSheetId="4" hidden="1">'TB Match'!#REF!</definedName>
    <definedName name="QB_ROW_9021" localSheetId="4" hidden="1">'TB Match'!#REF!</definedName>
    <definedName name="QB_ROW_93040" localSheetId="4" hidden="1">'TB Match'!#REF!</definedName>
    <definedName name="QB_ROW_9321" localSheetId="4" hidden="1">'TB Match'!#REF!</definedName>
    <definedName name="QB_ROW_93250" localSheetId="4" hidden="1">'TB Match'!#REF!</definedName>
    <definedName name="QB_ROW_93340" localSheetId="4" hidden="1">'TB Match'!#REF!</definedName>
    <definedName name="QB_ROW_95250" localSheetId="4" hidden="1">'TB Match'!#REF!</definedName>
    <definedName name="QB_ROW_96250" localSheetId="4" hidden="1">'TB Match'!#REF!</definedName>
    <definedName name="QB_ROW_97250" localSheetId="4" hidden="1">'TB Match'!#REF!</definedName>
    <definedName name="QB_ROW_98250" localSheetId="4" hidden="1">'TB Match'!#REF!</definedName>
    <definedName name="QBCANSUPPORTUPDATE" localSheetId="4">TRUE</definedName>
    <definedName name="QBCOMPANYFILENAME" localSheetId="4">"\\server1\QBData\QuickbooksData\Gorilla Marketing.qbw"</definedName>
    <definedName name="QBENDDATE" localSheetId="4">20190831</definedName>
    <definedName name="QBHEADERSONSCREEN" localSheetId="4">FALSE</definedName>
    <definedName name="QBMETADATASIZE" localSheetId="4">5914</definedName>
    <definedName name="QBPRESERVECOLOR" localSheetId="4">TRUE</definedName>
    <definedName name="QBPRESERVEFONT" localSheetId="4">TRUE</definedName>
    <definedName name="QBPRESERVEROWHEIGHT" localSheetId="4">TRUE</definedName>
    <definedName name="QBPRESERVESPACE" localSheetId="4">TRUE</definedName>
    <definedName name="QBREPORTCOLAXIS" localSheetId="4">0</definedName>
    <definedName name="QBREPORTCOMPANYID" localSheetId="4">"db4700d490074202ab8a7fff4c5b1188"</definedName>
    <definedName name="QBREPORTCOMPARECOL_ANNUALBUDGET" localSheetId="4">FALSE</definedName>
    <definedName name="QBREPORTCOMPARECOL_AVGCOGS" localSheetId="4">FALSE</definedName>
    <definedName name="QBREPORTCOMPARECOL_AVGPRICE" localSheetId="4">FALSE</definedName>
    <definedName name="QBREPORTCOMPARECOL_BUDDIFF" localSheetId="4">FALSE</definedName>
    <definedName name="QBREPORTCOMPARECOL_BUDGET" localSheetId="4">FALSE</definedName>
    <definedName name="QBREPORTCOMPARECOL_BUDPCT" localSheetId="4">FALSE</definedName>
    <definedName name="QBREPORTCOMPARECOL_COGS" localSheetId="4">FALSE</definedName>
    <definedName name="QBREPORTCOMPARECOL_EXCLUDEAMOUNT" localSheetId="4">FALSE</definedName>
    <definedName name="QBREPORTCOMPARECOL_EXCLUDECURPERIOD" localSheetId="4">FALSE</definedName>
    <definedName name="QBREPORTCOMPARECOL_FORECAST" localSheetId="4">FALSE</definedName>
    <definedName name="QBREPORTCOMPARECOL_GROSSMARGIN" localSheetId="4">FALSE</definedName>
    <definedName name="QBREPORTCOMPARECOL_GROSSMARGINPCT" localSheetId="4">FALSE</definedName>
    <definedName name="QBREPORTCOMPARECOL_HOURS" localSheetId="4">FALSE</definedName>
    <definedName name="QBREPORTCOMPARECOL_PCTCOL" localSheetId="4">FALSE</definedName>
    <definedName name="QBREPORTCOMPARECOL_PCTEXPENSE" localSheetId="4">FALSE</definedName>
    <definedName name="QBREPORTCOMPARECOL_PCTINCOME" localSheetId="4">FALSE</definedName>
    <definedName name="QBREPORTCOMPARECOL_PCTOFSALES" localSheetId="4">FALSE</definedName>
    <definedName name="QBREPORTCOMPARECOL_PCTROW" localSheetId="4">FALSE</definedName>
    <definedName name="QBREPORTCOMPARECOL_PPDIFF" localSheetId="4">FALSE</definedName>
    <definedName name="QBREPORTCOMPARECOL_PPPCT" localSheetId="4">FALSE</definedName>
    <definedName name="QBREPORTCOMPARECOL_PREVPERIOD" localSheetId="4">FALSE</definedName>
    <definedName name="QBREPORTCOMPARECOL_PREVYEAR" localSheetId="4">FALSE</definedName>
    <definedName name="QBREPORTCOMPARECOL_PYDIFF" localSheetId="4">FALSE</definedName>
    <definedName name="QBREPORTCOMPARECOL_PYPCT" localSheetId="4">FALSE</definedName>
    <definedName name="QBREPORTCOMPARECOL_QTY" localSheetId="4">FALSE</definedName>
    <definedName name="QBREPORTCOMPARECOL_RATE" localSheetId="4">FALSE</definedName>
    <definedName name="QBREPORTCOMPARECOL_TRIPBILLEDMILES" localSheetId="4">FALSE</definedName>
    <definedName name="QBREPORTCOMPARECOL_TRIPBILLINGAMOUNT" localSheetId="4">FALSE</definedName>
    <definedName name="QBREPORTCOMPARECOL_TRIPMILES" localSheetId="4">FALSE</definedName>
    <definedName name="QBREPORTCOMPARECOL_TRIPNOTBILLABLEMILES" localSheetId="4">FALSE</definedName>
    <definedName name="QBREPORTCOMPARECOL_TRIPTAXDEDUCTIBLEAMOUNT" localSheetId="4">FALSE</definedName>
    <definedName name="QBREPORTCOMPARECOL_TRIPUNBILLEDMILES" localSheetId="4">FALSE</definedName>
    <definedName name="QBREPORTCOMPARECOL_YTD" localSheetId="4">FALSE</definedName>
    <definedName name="QBREPORTCOMPARECOL_YTDBUDGET" localSheetId="4">FALSE</definedName>
    <definedName name="QBREPORTCOMPARECOL_YTDPCT" localSheetId="4">FALSE</definedName>
    <definedName name="QBREPORTROWAXIS" localSheetId="4">9</definedName>
    <definedName name="QBREPORTSUBCOLAXIS" localSheetId="4">0</definedName>
    <definedName name="QBREPORTTYPE" localSheetId="4">5</definedName>
    <definedName name="QBROWHEADERS" localSheetId="4">6</definedName>
    <definedName name="QBSTARTDATE" localSheetId="4">20190831</definedName>
    <definedName name="R_" localSheetId="6">'[2]7-2'!#REF!</definedName>
    <definedName name="R_" localSheetId="9">'[2]7-2'!#REF!</definedName>
    <definedName name="R_" localSheetId="16">'[2]7-2'!#REF!</definedName>
    <definedName name="R_" localSheetId="20">#REF!</definedName>
    <definedName name="R_">'[2]7-2'!#REF!</definedName>
    <definedName name="RANGE" localSheetId="6">#REF!</definedName>
    <definedName name="RANGE" localSheetId="9">#REF!</definedName>
    <definedName name="RANGE" localSheetId="16">#REF!</definedName>
    <definedName name="RANGE">#REF!</definedName>
    <definedName name="Sales_Revenue" localSheetId="20">SUMIFS(#REF!,#REF!,"Sales Revenue")</definedName>
    <definedName name="Sales_Revenue">SUMIFS([3]!SalesRevenue[Contract Amount],[3]!SalesRevenue[PROJECT],"Sales Revenue")</definedName>
    <definedName name="Sales_Revenue2019" localSheetId="20">SUMIFS(#REF!,#REF!,"Sales Revenue")</definedName>
    <definedName name="Sales_Revenue2019">SUMIFS([1]!SalesRevenue[Contract Amount],[1]!SalesRevenue[PROJECT],"Sales Revenue")</definedName>
    <definedName name="Sales_Revenue2020" localSheetId="20">SUMIFS(#REF!,#REF!,"Sales Revenue")</definedName>
    <definedName name="Sales_Revenue2020">SUMIFS([1]!SalesRevenue[Contract Amount],[1]!SalesRevenue[PROJECT],"Sales Revenue")</definedName>
    <definedName name="SecDep" localSheetId="6">#REF!</definedName>
    <definedName name="SecDep" localSheetId="9">#REF!</definedName>
    <definedName name="SecDep" localSheetId="16">#REF!</definedName>
    <definedName name="SecDep">#REF!</definedName>
    <definedName name="sellable_mix" localSheetId="6">#REF!</definedName>
    <definedName name="sellable_mix" localSheetId="9">#REF!</definedName>
    <definedName name="sellable_mix" localSheetId="16">#REF!</definedName>
    <definedName name="sellable_mix">#REF!</definedName>
    <definedName name="TENANT_INFO" localSheetId="6">#REF!</definedName>
    <definedName name="TENANT_INFO" localSheetId="16">#REF!</definedName>
    <definedName name="TENANT_INFO">#REF!</definedName>
    <definedName name="TI" localSheetId="6">#REF!</definedName>
    <definedName name="TI" localSheetId="16">#REF!</definedName>
    <definedName name="TI">#REF!</definedName>
    <definedName name="Title" localSheetId="20">#REF!</definedName>
    <definedName name="Title">[3]Dashboard!$B$1</definedName>
    <definedName name="Workbook_Title" localSheetId="20">#REF!</definedName>
    <definedName name="Workbook_Title">[1]Dashboard!$B$1</definedName>
    <definedName name="Z_2123B791_50DF_4EA7_BAE2_957C996FE8CB_.wvu.Rows" localSheetId="5" hidden="1">'10000 - BofA CHK 1020'!#REF!,'10000 - BofA CHK 1020'!#REF!,'10000 - BofA CHK 1020'!$16:$41</definedName>
  </definedNames>
  <calcPr calcId="191029"/>
  <customWorkbookViews>
    <customWorkbookView name="ALL SHEETS" guid="{2123B791-50DF-4EA7-BAE2-957C996FE8CB}" maximized="1" xWindow="-8" yWindow="-8" windowWidth="1296" windowHeight="1000" tabRatio="918" activeSheetId="3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7" i="136" l="1"/>
  <c r="AH6" i="136"/>
  <c r="AI6" i="136" s="1"/>
  <c r="AJ6" i="136" s="1"/>
  <c r="AK6" i="136" s="1"/>
  <c r="AL6" i="136" s="1"/>
  <c r="AM6" i="136" s="1"/>
  <c r="AN6" i="136" s="1"/>
  <c r="AO6" i="136" s="1"/>
  <c r="AP6" i="136" s="1"/>
  <c r="AG6" i="136"/>
  <c r="AQ6" i="136"/>
  <c r="AQ5" i="136"/>
  <c r="AQ4" i="136"/>
  <c r="AQ3" i="136"/>
  <c r="AQ2" i="136"/>
  <c r="AG3" i="136"/>
  <c r="AH3" i="136" s="1"/>
  <c r="AG7" i="136"/>
  <c r="G7" i="136"/>
  <c r="AE6" i="136"/>
  <c r="AF6" i="136" s="1"/>
  <c r="E6" i="136"/>
  <c r="AB5" i="136"/>
  <c r="AC5" i="136" s="1"/>
  <c r="C5" i="136"/>
  <c r="AC4" i="136"/>
  <c r="Z3" i="136"/>
  <c r="AA3" i="136" s="1"/>
  <c r="AB3" i="136" s="1"/>
  <c r="AC3" i="136" s="1"/>
  <c r="S2" i="136"/>
  <c r="S7" i="136" s="1"/>
  <c r="H7" i="136"/>
  <c r="G16" i="58"/>
  <c r="E5" i="122"/>
  <c r="D5" i="122"/>
  <c r="C4" i="122"/>
  <c r="D4" i="122"/>
  <c r="G18" i="132"/>
  <c r="C18" i="132"/>
  <c r="D18" i="132"/>
  <c r="D18" i="131"/>
  <c r="C18" i="131"/>
  <c r="G61" i="118"/>
  <c r="C3" i="122"/>
  <c r="N34" i="135"/>
  <c r="N35" i="135"/>
  <c r="J35" i="135"/>
  <c r="F35" i="135"/>
  <c r="A35" i="135"/>
  <c r="A36" i="135" s="1"/>
  <c r="A37" i="135" s="1"/>
  <c r="A38" i="135" s="1"/>
  <c r="A39" i="135" s="1"/>
  <c r="A40" i="135" s="1"/>
  <c r="A41" i="135" s="1"/>
  <c r="A42" i="135" s="1"/>
  <c r="A43" i="135" s="1"/>
  <c r="A44" i="135" s="1"/>
  <c r="E13" i="112"/>
  <c r="E12" i="112"/>
  <c r="E11" i="112"/>
  <c r="E10" i="112"/>
  <c r="E9" i="112"/>
  <c r="E8" i="112"/>
  <c r="E7" i="112"/>
  <c r="E6" i="112"/>
  <c r="E5" i="112"/>
  <c r="E4" i="112"/>
  <c r="E3" i="112"/>
  <c r="E2" i="112"/>
  <c r="AD145" i="126"/>
  <c r="AC145" i="126"/>
  <c r="AE144" i="126"/>
  <c r="AE143" i="126"/>
  <c r="AD139" i="126"/>
  <c r="AE139" i="126" s="1"/>
  <c r="AC139" i="126"/>
  <c r="AE138" i="126"/>
  <c r="AE137" i="126"/>
  <c r="DP129" i="126"/>
  <c r="I129" i="126"/>
  <c r="DP128" i="126"/>
  <c r="DO128" i="126"/>
  <c r="DN128" i="126"/>
  <c r="DM128" i="126"/>
  <c r="DL128" i="126"/>
  <c r="DK128" i="126"/>
  <c r="DJ128" i="126"/>
  <c r="DI128" i="126"/>
  <c r="DH128" i="126"/>
  <c r="DG128" i="126"/>
  <c r="DF128" i="126"/>
  <c r="DE128" i="126"/>
  <c r="DD128" i="126"/>
  <c r="DC128" i="126"/>
  <c r="DB128" i="126"/>
  <c r="DA128" i="126"/>
  <c r="CZ128" i="126"/>
  <c r="CY128" i="126"/>
  <c r="CX128" i="126"/>
  <c r="CW128" i="126"/>
  <c r="CV128" i="126"/>
  <c r="CU128" i="126"/>
  <c r="CT128" i="126"/>
  <c r="CS128" i="126"/>
  <c r="CR128" i="126"/>
  <c r="CQ128" i="126"/>
  <c r="CP128" i="126"/>
  <c r="CO128" i="126"/>
  <c r="CN128" i="126"/>
  <c r="CM128" i="126"/>
  <c r="CL128" i="126"/>
  <c r="CK128" i="126"/>
  <c r="CJ128" i="126"/>
  <c r="CI128" i="126"/>
  <c r="CH128" i="126"/>
  <c r="CG128" i="126"/>
  <c r="CF128" i="126"/>
  <c r="CE128" i="126"/>
  <c r="CD128" i="126"/>
  <c r="CC128" i="126"/>
  <c r="CB128" i="126"/>
  <c r="CA128" i="126"/>
  <c r="BZ128" i="126"/>
  <c r="BY128" i="126"/>
  <c r="BX128" i="126"/>
  <c r="BW128" i="126"/>
  <c r="BV128" i="126"/>
  <c r="BU128" i="126"/>
  <c r="I128" i="126"/>
  <c r="DP127" i="126"/>
  <c r="BK123" i="126"/>
  <c r="BL123" i="126" s="1"/>
  <c r="BM123" i="126" s="1"/>
  <c r="BN123" i="126" s="1"/>
  <c r="BO123" i="126" s="1"/>
  <c r="F123" i="126"/>
  <c r="BI123" i="126" s="1"/>
  <c r="BJ123" i="126" s="1"/>
  <c r="BN122" i="126"/>
  <c r="BO122" i="126" s="1"/>
  <c r="BP122" i="126" s="1"/>
  <c r="BQ122" i="126" s="1"/>
  <c r="BR122" i="126" s="1"/>
  <c r="BS122" i="126" s="1"/>
  <c r="BT122" i="126" s="1"/>
  <c r="BU122" i="126" s="1"/>
  <c r="BV122" i="126" s="1"/>
  <c r="BW122" i="126" s="1"/>
  <c r="BX122" i="126" s="1"/>
  <c r="BY122" i="126" s="1"/>
  <c r="BZ122" i="126" s="1"/>
  <c r="CA122" i="126" s="1"/>
  <c r="CB122" i="126" s="1"/>
  <c r="CC122" i="126" s="1"/>
  <c r="CD122" i="126" s="1"/>
  <c r="CE122" i="126" s="1"/>
  <c r="CF122" i="126" s="1"/>
  <c r="CG122" i="126" s="1"/>
  <c r="CH122" i="126" s="1"/>
  <c r="CI122" i="126" s="1"/>
  <c r="CJ122" i="126" s="1"/>
  <c r="CK122" i="126" s="1"/>
  <c r="CL122" i="126" s="1"/>
  <c r="CM122" i="126" s="1"/>
  <c r="CN122" i="126" s="1"/>
  <c r="CO122" i="126" s="1"/>
  <c r="CP122" i="126" s="1"/>
  <c r="CQ122" i="126" s="1"/>
  <c r="CR122" i="126" s="1"/>
  <c r="CS122" i="126" s="1"/>
  <c r="CT122" i="126" s="1"/>
  <c r="CU122" i="126" s="1"/>
  <c r="CV122" i="126" s="1"/>
  <c r="CW122" i="126" s="1"/>
  <c r="CX122" i="126" s="1"/>
  <c r="CY122" i="126" s="1"/>
  <c r="CZ122" i="126" s="1"/>
  <c r="DA122" i="126" s="1"/>
  <c r="DB122" i="126" s="1"/>
  <c r="DC122" i="126" s="1"/>
  <c r="DD122" i="126" s="1"/>
  <c r="DE122" i="126" s="1"/>
  <c r="DF122" i="126" s="1"/>
  <c r="DG122" i="126" s="1"/>
  <c r="DH122" i="126" s="1"/>
  <c r="DI122" i="126" s="1"/>
  <c r="DJ122" i="126" s="1"/>
  <c r="DK122" i="126" s="1"/>
  <c r="DL122" i="126" s="1"/>
  <c r="DM122" i="126" s="1"/>
  <c r="DN122" i="126" s="1"/>
  <c r="BH122" i="126"/>
  <c r="BI122" i="126" s="1"/>
  <c r="BJ122" i="126" s="1"/>
  <c r="BK122" i="126" s="1"/>
  <c r="BL122" i="126" s="1"/>
  <c r="BM122" i="126" s="1"/>
  <c r="F122" i="126"/>
  <c r="F121" i="126"/>
  <c r="F120" i="126"/>
  <c r="BF120" i="126" s="1"/>
  <c r="BF119" i="126"/>
  <c r="F119" i="126"/>
  <c r="F118" i="126"/>
  <c r="BE118" i="126" s="1"/>
  <c r="BF118" i="126" s="1"/>
  <c r="BG118" i="126" s="1"/>
  <c r="BH118" i="126" s="1"/>
  <c r="BI118" i="126" s="1"/>
  <c r="BJ118" i="126" s="1"/>
  <c r="BK118" i="126" s="1"/>
  <c r="BL118" i="126" s="1"/>
  <c r="BM118" i="126" s="1"/>
  <c r="BN118" i="126" s="1"/>
  <c r="F117" i="126"/>
  <c r="BB117" i="126" s="1"/>
  <c r="BG116" i="126"/>
  <c r="BH116" i="126" s="1"/>
  <c r="BI116" i="126" s="1"/>
  <c r="BJ116" i="126" s="1"/>
  <c r="BK116" i="126" s="1"/>
  <c r="BL116" i="126" s="1"/>
  <c r="BM116" i="126" s="1"/>
  <c r="BB116" i="126"/>
  <c r="BC116" i="126" s="1"/>
  <c r="BD116" i="126" s="1"/>
  <c r="BE116" i="126" s="1"/>
  <c r="BF116" i="126" s="1"/>
  <c r="F116" i="126"/>
  <c r="BC115" i="126"/>
  <c r="BB115" i="126"/>
  <c r="F115" i="126"/>
  <c r="BB114" i="126"/>
  <c r="BC114" i="126" s="1"/>
  <c r="BD114" i="126" s="1"/>
  <c r="BE114" i="126" s="1"/>
  <c r="BF114" i="126" s="1"/>
  <c r="BG114" i="126" s="1"/>
  <c r="BH114" i="126" s="1"/>
  <c r="BI114" i="126" s="1"/>
  <c r="BJ114" i="126" s="1"/>
  <c r="BK114" i="126" s="1"/>
  <c r="BL114" i="126" s="1"/>
  <c r="BM114" i="126" s="1"/>
  <c r="F114" i="126"/>
  <c r="BB113" i="126"/>
  <c r="BC113" i="126" s="1"/>
  <c r="BD113" i="126" s="1"/>
  <c r="BE113" i="126" s="1"/>
  <c r="BF113" i="126" s="1"/>
  <c r="BG113" i="126" s="1"/>
  <c r="F113" i="126"/>
  <c r="F112" i="126"/>
  <c r="BB112" i="126" s="1"/>
  <c r="BB111" i="126"/>
  <c r="F111" i="126"/>
  <c r="BA110" i="126"/>
  <c r="BB110" i="126" s="1"/>
  <c r="BC110" i="126" s="1"/>
  <c r="H110" i="126"/>
  <c r="F110" i="126"/>
  <c r="BV109" i="126"/>
  <c r="BW109" i="126" s="1"/>
  <c r="BX109" i="126" s="1"/>
  <c r="BY109" i="126" s="1"/>
  <c r="BZ109" i="126" s="1"/>
  <c r="CA109" i="126" s="1"/>
  <c r="CB109" i="126" s="1"/>
  <c r="CC109" i="126" s="1"/>
  <c r="CD109" i="126" s="1"/>
  <c r="CE109" i="126" s="1"/>
  <c r="CF109" i="126" s="1"/>
  <c r="CG109" i="126" s="1"/>
  <c r="CH109" i="126" s="1"/>
  <c r="CI109" i="126" s="1"/>
  <c r="CJ109" i="126" s="1"/>
  <c r="CK109" i="126" s="1"/>
  <c r="CL109" i="126" s="1"/>
  <c r="CM109" i="126" s="1"/>
  <c r="CN109" i="126" s="1"/>
  <c r="CO109" i="126" s="1"/>
  <c r="CP109" i="126" s="1"/>
  <c r="CQ109" i="126" s="1"/>
  <c r="CR109" i="126" s="1"/>
  <c r="CS109" i="126" s="1"/>
  <c r="CT109" i="126" s="1"/>
  <c r="CU109" i="126" s="1"/>
  <c r="CV109" i="126" s="1"/>
  <c r="CW109" i="126" s="1"/>
  <c r="CX109" i="126" s="1"/>
  <c r="CY109" i="126" s="1"/>
  <c r="CZ109" i="126" s="1"/>
  <c r="DA109" i="126" s="1"/>
  <c r="DB109" i="126" s="1"/>
  <c r="DC109" i="126" s="1"/>
  <c r="DD109" i="126" s="1"/>
  <c r="DE109" i="126" s="1"/>
  <c r="DF109" i="126" s="1"/>
  <c r="DG109" i="126" s="1"/>
  <c r="DH109" i="126" s="1"/>
  <c r="BG109" i="126"/>
  <c r="BH109" i="126" s="1"/>
  <c r="BI109" i="126" s="1"/>
  <c r="BJ109" i="126" s="1"/>
  <c r="BK109" i="126" s="1"/>
  <c r="BL109" i="126" s="1"/>
  <c r="BM109" i="126" s="1"/>
  <c r="BN109" i="126" s="1"/>
  <c r="BO109" i="126" s="1"/>
  <c r="BP109" i="126" s="1"/>
  <c r="BQ109" i="126" s="1"/>
  <c r="BR109" i="126" s="1"/>
  <c r="BS109" i="126" s="1"/>
  <c r="BT109" i="126" s="1"/>
  <c r="BU109" i="126" s="1"/>
  <c r="BB109" i="126"/>
  <c r="BC109" i="126" s="1"/>
  <c r="BD109" i="126" s="1"/>
  <c r="BE109" i="126" s="1"/>
  <c r="BF109" i="126" s="1"/>
  <c r="F109" i="126"/>
  <c r="BA109" i="126" s="1"/>
  <c r="BA108" i="126"/>
  <c r="F108" i="126"/>
  <c r="BD107" i="126"/>
  <c r="F107" i="126"/>
  <c r="F106" i="126"/>
  <c r="AZ106" i="126" s="1"/>
  <c r="F105" i="126"/>
  <c r="AZ105" i="126" s="1"/>
  <c r="BA105" i="126" s="1"/>
  <c r="BB105" i="126" s="1"/>
  <c r="E105" i="126"/>
  <c r="AZ104" i="126"/>
  <c r="H104" i="126"/>
  <c r="AZ103" i="126"/>
  <c r="AY103" i="126"/>
  <c r="AX103" i="126"/>
  <c r="F103" i="126"/>
  <c r="AY102" i="126"/>
  <c r="H102" i="126" s="1"/>
  <c r="F102" i="126"/>
  <c r="AW101" i="126"/>
  <c r="F101" i="126"/>
  <c r="F100" i="126"/>
  <c r="F99" i="126"/>
  <c r="AW99" i="126" s="1"/>
  <c r="AW98" i="126"/>
  <c r="AX98" i="126" s="1"/>
  <c r="AV98" i="126"/>
  <c r="F98" i="126"/>
  <c r="AW97" i="126"/>
  <c r="AX97" i="126" s="1"/>
  <c r="AV97" i="126"/>
  <c r="F97" i="126"/>
  <c r="AV96" i="126"/>
  <c r="H96" i="126" s="1"/>
  <c r="H95" i="126"/>
  <c r="F95" i="126"/>
  <c r="AU95" i="126" s="1"/>
  <c r="AV95" i="126" s="1"/>
  <c r="AW95" i="126" s="1"/>
  <c r="F94" i="126"/>
  <c r="AU94" i="126" s="1"/>
  <c r="AV94" i="126" s="1"/>
  <c r="AW94" i="126" s="1"/>
  <c r="AX94" i="126" s="1"/>
  <c r="AY94" i="126" s="1"/>
  <c r="AZ94" i="126" s="1"/>
  <c r="BA94" i="126" s="1"/>
  <c r="BB94" i="126" s="1"/>
  <c r="BC94" i="126" s="1"/>
  <c r="BD94" i="126" s="1"/>
  <c r="BE94" i="126" s="1"/>
  <c r="BF94" i="126" s="1"/>
  <c r="F93" i="126"/>
  <c r="AU93" i="126" s="1"/>
  <c r="BB92" i="126"/>
  <c r="BA92" i="126"/>
  <c r="AZ92" i="126"/>
  <c r="AY92" i="126"/>
  <c r="AX92" i="126"/>
  <c r="AW92" i="126"/>
  <c r="AU92" i="126"/>
  <c r="AT92" i="126"/>
  <c r="AS92" i="126"/>
  <c r="F92" i="126"/>
  <c r="AW91" i="126"/>
  <c r="AT91" i="126"/>
  <c r="F91" i="126"/>
  <c r="CX90" i="126"/>
  <c r="CW90" i="126"/>
  <c r="CV90" i="126"/>
  <c r="CU90" i="126"/>
  <c r="CS90" i="126"/>
  <c r="CP90" i="126"/>
  <c r="CO90" i="126"/>
  <c r="CN90" i="126"/>
  <c r="CM90" i="126"/>
  <c r="CK90" i="126"/>
  <c r="CI90" i="126"/>
  <c r="CH90" i="126"/>
  <c r="CG90" i="126"/>
  <c r="CE90" i="126"/>
  <c r="CD90" i="126"/>
  <c r="CC90" i="126"/>
  <c r="CB90" i="126"/>
  <c r="BX90" i="126"/>
  <c r="BW90" i="126"/>
  <c r="BU90" i="126"/>
  <c r="BT90" i="126"/>
  <c r="BS90" i="126"/>
  <c r="BR90" i="126"/>
  <c r="BQ90" i="126"/>
  <c r="BO90" i="126"/>
  <c r="BN90" i="126"/>
  <c r="BM90" i="126"/>
  <c r="BK90" i="126"/>
  <c r="BH90" i="126"/>
  <c r="BG90" i="126"/>
  <c r="BD90" i="126"/>
  <c r="BC90" i="126"/>
  <c r="BB90" i="126"/>
  <c r="BA90" i="126"/>
  <c r="AZ90" i="126"/>
  <c r="AY90" i="126"/>
  <c r="AX90" i="126"/>
  <c r="AW90" i="126"/>
  <c r="AU90" i="126"/>
  <c r="AT90" i="126"/>
  <c r="AQ90" i="126"/>
  <c r="F90" i="126"/>
  <c r="CX89" i="126"/>
  <c r="CW89" i="126"/>
  <c r="CS89" i="126"/>
  <c r="CR89" i="126"/>
  <c r="CQ89" i="126"/>
  <c r="CO89" i="126"/>
  <c r="CN89" i="126"/>
  <c r="CM89" i="126"/>
  <c r="CH89" i="126"/>
  <c r="CD89" i="126"/>
  <c r="CB89" i="126"/>
  <c r="BZ89" i="126"/>
  <c r="BY89" i="126"/>
  <c r="BR89" i="126"/>
  <c r="BP89" i="126"/>
  <c r="BM89" i="126"/>
  <c r="BL89" i="126"/>
  <c r="BI89" i="126"/>
  <c r="BH89" i="126"/>
  <c r="BE89" i="126"/>
  <c r="BB89" i="126"/>
  <c r="AY89" i="126"/>
  <c r="AX89" i="126"/>
  <c r="AW89" i="126"/>
  <c r="AT89" i="126"/>
  <c r="AS89" i="126"/>
  <c r="F89" i="126"/>
  <c r="CU89" i="126" s="1"/>
  <c r="AQ88" i="126"/>
  <c r="H88" i="126" s="1"/>
  <c r="CX87" i="126"/>
  <c r="CV87" i="126"/>
  <c r="CS87" i="126"/>
  <c r="CQ87" i="126"/>
  <c r="CN87" i="126"/>
  <c r="CH87" i="126"/>
  <c r="CG87" i="126"/>
  <c r="CF87" i="126"/>
  <c r="CE87" i="126"/>
  <c r="CD87" i="126"/>
  <c r="CC87" i="126"/>
  <c r="CB87" i="126"/>
  <c r="BQ87" i="126"/>
  <c r="BL87" i="126"/>
  <c r="BK87" i="126"/>
  <c r="BJ87" i="126"/>
  <c r="BI87" i="126"/>
  <c r="BH87" i="126"/>
  <c r="BG87" i="126"/>
  <c r="BF87" i="126"/>
  <c r="BE87" i="126"/>
  <c r="AZ87" i="126"/>
  <c r="AY87" i="126"/>
  <c r="AV87" i="126"/>
  <c r="F87" i="126"/>
  <c r="CW87" i="126" s="1"/>
  <c r="CU86" i="126"/>
  <c r="CT86" i="126"/>
  <c r="CS86" i="126"/>
  <c r="CP86" i="126"/>
  <c r="CO86" i="126"/>
  <c r="CN86" i="126"/>
  <c r="CL86" i="126"/>
  <c r="CJ86" i="126"/>
  <c r="CI86" i="126"/>
  <c r="CH86" i="126"/>
  <c r="CD86" i="126"/>
  <c r="CC86" i="126"/>
  <c r="CB86" i="126"/>
  <c r="CA86" i="126"/>
  <c r="BY86" i="126"/>
  <c r="BW86" i="126"/>
  <c r="BV86" i="126"/>
  <c r="BU86" i="126"/>
  <c r="BS86" i="126"/>
  <c r="BR86" i="126"/>
  <c r="BO86" i="126"/>
  <c r="BM86" i="126"/>
  <c r="BL86" i="126"/>
  <c r="BK86" i="126"/>
  <c r="BI86" i="126"/>
  <c r="BG86" i="126"/>
  <c r="BF86" i="126"/>
  <c r="BD86" i="126"/>
  <c r="BC86" i="126"/>
  <c r="BB86" i="126"/>
  <c r="AX86" i="126"/>
  <c r="AW86" i="126"/>
  <c r="AV86" i="126"/>
  <c r="AU86" i="126"/>
  <c r="AT86" i="126"/>
  <c r="AR86" i="126"/>
  <c r="AQ86" i="126"/>
  <c r="F86" i="126"/>
  <c r="CW85" i="126"/>
  <c r="CS85" i="126"/>
  <c r="CR85" i="126"/>
  <c r="CQ85" i="126"/>
  <c r="CO85" i="126"/>
  <c r="CN85" i="126"/>
  <c r="CM85" i="126"/>
  <c r="CL85" i="126"/>
  <c r="CK85" i="126"/>
  <c r="CJ85" i="126"/>
  <c r="CI85" i="126"/>
  <c r="CG85" i="126"/>
  <c r="CF85" i="126"/>
  <c r="CC85" i="126"/>
  <c r="CB85" i="126"/>
  <c r="BZ85" i="126"/>
  <c r="BY85" i="126"/>
  <c r="BX85" i="126"/>
  <c r="BV85" i="126"/>
  <c r="BU85" i="126"/>
  <c r="BT85" i="126"/>
  <c r="BS85" i="126"/>
  <c r="BR85" i="126"/>
  <c r="BQ85" i="126"/>
  <c r="BO85" i="126"/>
  <c r="BM85" i="126"/>
  <c r="BL85" i="126"/>
  <c r="BK85" i="126"/>
  <c r="BJ85" i="126"/>
  <c r="BH85" i="126"/>
  <c r="BG85" i="126"/>
  <c r="BF85" i="126"/>
  <c r="BD85" i="126"/>
  <c r="BC85" i="126"/>
  <c r="BB85" i="126"/>
  <c r="BA85" i="126"/>
  <c r="AZ85" i="126"/>
  <c r="AX85" i="126"/>
  <c r="AW85" i="126"/>
  <c r="AV85" i="126"/>
  <c r="AU85" i="126"/>
  <c r="AT85" i="126"/>
  <c r="AS85" i="126"/>
  <c r="AQ85" i="126"/>
  <c r="AP85" i="126"/>
  <c r="F85" i="126"/>
  <c r="CT84" i="126"/>
  <c r="CR84" i="126"/>
  <c r="CO84" i="126"/>
  <c r="CN84" i="126"/>
  <c r="CL84" i="126"/>
  <c r="F84" i="126"/>
  <c r="CA84" i="126" s="1"/>
  <c r="CW83" i="126"/>
  <c r="CU83" i="126"/>
  <c r="CT83" i="126"/>
  <c r="CS83" i="126"/>
  <c r="CP83" i="126"/>
  <c r="CO83" i="126"/>
  <c r="CN83" i="126"/>
  <c r="CK83" i="126"/>
  <c r="CJ83" i="126"/>
  <c r="CI83" i="126"/>
  <c r="CF83" i="126"/>
  <c r="CD83" i="126"/>
  <c r="CC83" i="126"/>
  <c r="CB83" i="126"/>
  <c r="BY83" i="126"/>
  <c r="BX83" i="126"/>
  <c r="BW83" i="126"/>
  <c r="BV83" i="126"/>
  <c r="BU83" i="126"/>
  <c r="BT83" i="126"/>
  <c r="BR83" i="126"/>
  <c r="BP83" i="126"/>
  <c r="BM83" i="126"/>
  <c r="BL83" i="126"/>
  <c r="BH83" i="126"/>
  <c r="BG83" i="126"/>
  <c r="BF83" i="126"/>
  <c r="BE83" i="126"/>
  <c r="BD83" i="126"/>
  <c r="BC83" i="126"/>
  <c r="BB83" i="126"/>
  <c r="BA83" i="126"/>
  <c r="AY83" i="126"/>
  <c r="AX83" i="126"/>
  <c r="AV83" i="126"/>
  <c r="AQ83" i="126"/>
  <c r="AP83" i="126"/>
  <c r="F83" i="126"/>
  <c r="BA82" i="126"/>
  <c r="AZ82" i="126"/>
  <c r="AY82" i="126"/>
  <c r="AX82" i="126"/>
  <c r="AW82" i="126"/>
  <c r="AV82" i="126"/>
  <c r="AR82" i="126"/>
  <c r="AQ82" i="126"/>
  <c r="AP82" i="126"/>
  <c r="F82" i="126"/>
  <c r="CW81" i="126"/>
  <c r="CT81" i="126"/>
  <c r="CS81" i="126"/>
  <c r="CQ81" i="126"/>
  <c r="CP81" i="126"/>
  <c r="CO81" i="126"/>
  <c r="CK81" i="126"/>
  <c r="CI81" i="126"/>
  <c r="CG81" i="126"/>
  <c r="CF81" i="126"/>
  <c r="CD81" i="126"/>
  <c r="CC81" i="126"/>
  <c r="CB81" i="126"/>
  <c r="BY81" i="126"/>
  <c r="BX81" i="126"/>
  <c r="BU81" i="126"/>
  <c r="BT81" i="126"/>
  <c r="BS81" i="126"/>
  <c r="BP81" i="126"/>
  <c r="BO81" i="126"/>
  <c r="BN81" i="126"/>
  <c r="BK81" i="126"/>
  <c r="BJ81" i="126"/>
  <c r="BI81" i="126"/>
  <c r="BH81" i="126"/>
  <c r="BD81" i="126"/>
  <c r="BC81" i="126"/>
  <c r="AZ81" i="126"/>
  <c r="AX81" i="126"/>
  <c r="AW81" i="126"/>
  <c r="AV81" i="126"/>
  <c r="AT81" i="126"/>
  <c r="AS81" i="126"/>
  <c r="AR81" i="126"/>
  <c r="AQ81" i="126"/>
  <c r="F81" i="126"/>
  <c r="CK80" i="126"/>
  <c r="BW80" i="126"/>
  <c r="F80" i="126"/>
  <c r="CX79" i="126"/>
  <c r="CW79" i="126"/>
  <c r="CV79" i="126"/>
  <c r="CU79" i="126"/>
  <c r="CT79" i="126"/>
  <c r="CS79" i="126"/>
  <c r="CR79" i="126"/>
  <c r="CQ79" i="126"/>
  <c r="CP79" i="126"/>
  <c r="CO79" i="126"/>
  <c r="CN79" i="126"/>
  <c r="CM79" i="126"/>
  <c r="CL79" i="126"/>
  <c r="CJ79" i="126"/>
  <c r="CI79" i="126"/>
  <c r="CH79" i="126"/>
  <c r="CG79" i="126"/>
  <c r="CF79" i="126"/>
  <c r="CE79" i="126"/>
  <c r="CD79" i="126"/>
  <c r="CC79" i="126"/>
  <c r="CB79" i="126"/>
  <c r="CA79" i="126"/>
  <c r="BZ79" i="126"/>
  <c r="BY79" i="126"/>
  <c r="BX79" i="126"/>
  <c r="BW79" i="126"/>
  <c r="BV79" i="126"/>
  <c r="BT79" i="126"/>
  <c r="BS79" i="126"/>
  <c r="BR79" i="126"/>
  <c r="BQ79" i="126"/>
  <c r="BP79" i="126"/>
  <c r="BO79" i="126"/>
  <c r="BN79" i="126"/>
  <c r="BM79" i="126"/>
  <c r="BL79" i="126"/>
  <c r="BK79" i="126"/>
  <c r="BJ79" i="126"/>
  <c r="BI79" i="126"/>
  <c r="BH79" i="126"/>
  <c r="BG79" i="126"/>
  <c r="BF79" i="126"/>
  <c r="BD79" i="126"/>
  <c r="BC79" i="126"/>
  <c r="BB79" i="126"/>
  <c r="BA79" i="126"/>
  <c r="AZ79" i="126"/>
  <c r="AY79" i="126"/>
  <c r="AX79" i="126"/>
  <c r="AW79" i="126"/>
  <c r="AV79" i="126"/>
  <c r="AU79" i="126"/>
  <c r="AT79" i="126"/>
  <c r="AS79" i="126"/>
  <c r="AR79" i="126"/>
  <c r="AQ79" i="126"/>
  <c r="F79" i="126"/>
  <c r="CK79" i="126" s="1"/>
  <c r="AQ78" i="126"/>
  <c r="F78" i="126"/>
  <c r="AZ77" i="126"/>
  <c r="AW77" i="126"/>
  <c r="AV77" i="126"/>
  <c r="AQ77" i="126"/>
  <c r="AP77" i="126"/>
  <c r="F77" i="126"/>
  <c r="CR76" i="126"/>
  <c r="CQ76" i="126"/>
  <c r="CL76" i="126"/>
  <c r="CF76" i="126"/>
  <c r="CD76" i="126"/>
  <c r="BQ76" i="126"/>
  <c r="BP76" i="126"/>
  <c r="F76" i="126"/>
  <c r="BK76" i="126" s="1"/>
  <c r="CV75" i="126"/>
  <c r="CU75" i="126"/>
  <c r="CS75" i="126"/>
  <c r="CR75" i="126"/>
  <c r="CP75" i="126"/>
  <c r="CO75" i="126"/>
  <c r="CN75" i="126"/>
  <c r="CH75" i="126"/>
  <c r="CD75" i="126"/>
  <c r="CB75" i="126"/>
  <c r="BZ75" i="126"/>
  <c r="BY75" i="126"/>
  <c r="BX75" i="126"/>
  <c r="BW75" i="126"/>
  <c r="BV75" i="126"/>
  <c r="BU75" i="126"/>
  <c r="BT75" i="126"/>
  <c r="BS75" i="126"/>
  <c r="BO75" i="126"/>
  <c r="BH75" i="126"/>
  <c r="BF75" i="126"/>
  <c r="BE75" i="126"/>
  <c r="BD75" i="126"/>
  <c r="BC75" i="126"/>
  <c r="BB75" i="126"/>
  <c r="BA75" i="126"/>
  <c r="AZ75" i="126"/>
  <c r="AV75" i="126"/>
  <c r="AS75" i="126"/>
  <c r="AQ75" i="126"/>
  <c r="AP75" i="126"/>
  <c r="F75" i="126"/>
  <c r="CE75" i="126" s="1"/>
  <c r="AN74" i="126"/>
  <c r="H74" i="126" s="1"/>
  <c r="F73" i="126"/>
  <c r="AN72" i="126"/>
  <c r="H72" i="126"/>
  <c r="CT71" i="126"/>
  <c r="CN71" i="126"/>
  <c r="CK71" i="126"/>
  <c r="CG71" i="126"/>
  <c r="CE71" i="126"/>
  <c r="CC71" i="126"/>
  <c r="BJ71" i="126"/>
  <c r="BG71" i="126"/>
  <c r="BF71" i="126"/>
  <c r="BE71" i="126"/>
  <c r="BC71" i="126"/>
  <c r="BB71" i="126"/>
  <c r="BA71" i="126"/>
  <c r="AZ71" i="126"/>
  <c r="AY71" i="126"/>
  <c r="AR71" i="126"/>
  <c r="AO71" i="126"/>
  <c r="F71" i="126"/>
  <c r="CD71" i="126" s="1"/>
  <c r="F70" i="126"/>
  <c r="AM70" i="126" s="1"/>
  <c r="H70" i="126" s="1"/>
  <c r="CS69" i="126"/>
  <c r="CR69" i="126"/>
  <c r="CP69" i="126"/>
  <c r="CN69" i="126"/>
  <c r="CM69" i="126"/>
  <c r="CK69" i="126"/>
  <c r="CJ69" i="126"/>
  <c r="CI69" i="126"/>
  <c r="CG69" i="126"/>
  <c r="CF69" i="126"/>
  <c r="CE69" i="126"/>
  <c r="CD69" i="126"/>
  <c r="CC69" i="126"/>
  <c r="CB69" i="126"/>
  <c r="CA69" i="126"/>
  <c r="BZ69" i="126"/>
  <c r="BX69" i="126"/>
  <c r="BV69" i="126"/>
  <c r="BT69" i="126"/>
  <c r="BS69" i="126"/>
  <c r="BR69" i="126"/>
  <c r="BP69" i="126"/>
  <c r="BO69" i="126"/>
  <c r="BN69" i="126"/>
  <c r="BM69" i="126"/>
  <c r="BL69" i="126"/>
  <c r="BK69" i="126"/>
  <c r="BJ69" i="126"/>
  <c r="BH69" i="126"/>
  <c r="BG69" i="126"/>
  <c r="BF69" i="126"/>
  <c r="BE69" i="126"/>
  <c r="BB69" i="126"/>
  <c r="BA69" i="126"/>
  <c r="AY69" i="126"/>
  <c r="AX69" i="126"/>
  <c r="AW69" i="126"/>
  <c r="AV69" i="126"/>
  <c r="AU69" i="126"/>
  <c r="AT69" i="126"/>
  <c r="AR69" i="126"/>
  <c r="AQ69" i="126"/>
  <c r="AP69" i="126"/>
  <c r="AO69" i="126"/>
  <c r="AN69" i="126"/>
  <c r="AL69" i="126"/>
  <c r="F69" i="126"/>
  <c r="CR68" i="126"/>
  <c r="CQ68" i="126"/>
  <c r="CP68" i="126"/>
  <c r="CN68" i="126"/>
  <c r="CL68" i="126"/>
  <c r="CK68" i="126"/>
  <c r="CJ68" i="126"/>
  <c r="CI68" i="126"/>
  <c r="CH68" i="126"/>
  <c r="CG68" i="126"/>
  <c r="CE68" i="126"/>
  <c r="CD68" i="126"/>
  <c r="CC68" i="126"/>
  <c r="CA68" i="126"/>
  <c r="BY68" i="126"/>
  <c r="BX68" i="126"/>
  <c r="BV68" i="126"/>
  <c r="BT68" i="126"/>
  <c r="BS68" i="126"/>
  <c r="BR68" i="126"/>
  <c r="BQ68" i="126"/>
  <c r="BP68" i="126"/>
  <c r="BN68" i="126"/>
  <c r="BM68" i="126"/>
  <c r="BL68" i="126"/>
  <c r="BJ68" i="126"/>
  <c r="BI68" i="126"/>
  <c r="BH68" i="126"/>
  <c r="BE68" i="126"/>
  <c r="BD68" i="126"/>
  <c r="BC68" i="126"/>
  <c r="BA68" i="126"/>
  <c r="AZ68" i="126"/>
  <c r="AY68" i="126"/>
  <c r="AW68" i="126"/>
  <c r="AV68" i="126"/>
  <c r="AU68" i="126"/>
  <c r="AS68" i="126"/>
  <c r="AR68" i="126"/>
  <c r="AQ68" i="126"/>
  <c r="AP68" i="126"/>
  <c r="AO68" i="126"/>
  <c r="AM68" i="126"/>
  <c r="AL68" i="126"/>
  <c r="F68" i="126"/>
  <c r="CQ67" i="126"/>
  <c r="CD67" i="126"/>
  <c r="BZ67" i="126"/>
  <c r="BY67" i="126"/>
  <c r="BU67" i="126"/>
  <c r="BR67" i="126"/>
  <c r="BM67" i="126"/>
  <c r="BJ67" i="126"/>
  <c r="BG67" i="126"/>
  <c r="BF67" i="126"/>
  <c r="BE67" i="126"/>
  <c r="AZ67" i="126"/>
  <c r="AQ67" i="126"/>
  <c r="AL67" i="126"/>
  <c r="F67" i="126"/>
  <c r="CC67" i="126" s="1"/>
  <c r="F66" i="126"/>
  <c r="F65" i="126"/>
  <c r="AM64" i="126"/>
  <c r="AN64" i="126" s="1"/>
  <c r="AO64" i="126" s="1"/>
  <c r="AP64" i="126" s="1"/>
  <c r="AQ64" i="126" s="1"/>
  <c r="AR64" i="126" s="1"/>
  <c r="AS64" i="126" s="1"/>
  <c r="AT64" i="126" s="1"/>
  <c r="AU64" i="126" s="1"/>
  <c r="AV64" i="126" s="1"/>
  <c r="AW64" i="126" s="1"/>
  <c r="AX64" i="126" s="1"/>
  <c r="AY64" i="126" s="1"/>
  <c r="AZ64" i="126" s="1"/>
  <c r="BA64" i="126" s="1"/>
  <c r="BB64" i="126" s="1"/>
  <c r="BC64" i="126" s="1"/>
  <c r="BD64" i="126" s="1"/>
  <c r="BE64" i="126" s="1"/>
  <c r="BF64" i="126" s="1"/>
  <c r="BG64" i="126" s="1"/>
  <c r="BH64" i="126" s="1"/>
  <c r="BI64" i="126" s="1"/>
  <c r="BJ64" i="126" s="1"/>
  <c r="BK64" i="126" s="1"/>
  <c r="BL64" i="126" s="1"/>
  <c r="BM64" i="126" s="1"/>
  <c r="BN64" i="126" s="1"/>
  <c r="BO64" i="126" s="1"/>
  <c r="BP64" i="126" s="1"/>
  <c r="BQ64" i="126" s="1"/>
  <c r="BR64" i="126" s="1"/>
  <c r="BS64" i="126" s="1"/>
  <c r="BT64" i="126" s="1"/>
  <c r="BU64" i="126" s="1"/>
  <c r="BV64" i="126" s="1"/>
  <c r="BW64" i="126" s="1"/>
  <c r="BX64" i="126" s="1"/>
  <c r="BY64" i="126" s="1"/>
  <c r="BZ64" i="126" s="1"/>
  <c r="CA64" i="126" s="1"/>
  <c r="CB64" i="126" s="1"/>
  <c r="CC64" i="126" s="1"/>
  <c r="CD64" i="126" s="1"/>
  <c r="CE64" i="126" s="1"/>
  <c r="CF64" i="126" s="1"/>
  <c r="CG64" i="126" s="1"/>
  <c r="CH64" i="126" s="1"/>
  <c r="CI64" i="126" s="1"/>
  <c r="CJ64" i="126" s="1"/>
  <c r="CK64" i="126" s="1"/>
  <c r="CL64" i="126" s="1"/>
  <c r="CM64" i="126" s="1"/>
  <c r="CN64" i="126" s="1"/>
  <c r="CO64" i="126" s="1"/>
  <c r="CP64" i="126" s="1"/>
  <c r="CQ64" i="126" s="1"/>
  <c r="CR64" i="126" s="1"/>
  <c r="AL64" i="126"/>
  <c r="H64" i="126" s="1"/>
  <c r="F64" i="126"/>
  <c r="AK64" i="126" s="1"/>
  <c r="CR63" i="126"/>
  <c r="CQ63" i="126"/>
  <c r="CP63" i="126"/>
  <c r="CO63" i="126"/>
  <c r="CN63" i="126"/>
  <c r="CM63" i="126"/>
  <c r="CL63" i="126"/>
  <c r="CK63" i="126"/>
  <c r="CJ63" i="126"/>
  <c r="CH63" i="126"/>
  <c r="CG63" i="126"/>
  <c r="CF63" i="126"/>
  <c r="CD63" i="126"/>
  <c r="CC63" i="126"/>
  <c r="CB63" i="126"/>
  <c r="CA63" i="126"/>
  <c r="BZ63" i="126"/>
  <c r="BY63" i="126"/>
  <c r="BX63" i="126"/>
  <c r="BW63" i="126"/>
  <c r="BV63" i="126"/>
  <c r="BU63" i="126"/>
  <c r="BT63" i="126"/>
  <c r="BR63" i="126"/>
  <c r="BQ63" i="126"/>
  <c r="BP63" i="126"/>
  <c r="BN63" i="126"/>
  <c r="BM63" i="126"/>
  <c r="BL63" i="126"/>
  <c r="BK63" i="126"/>
  <c r="BJ63" i="126"/>
  <c r="BI63" i="126"/>
  <c r="BH63" i="126"/>
  <c r="BG63" i="126"/>
  <c r="BF63" i="126"/>
  <c r="BE63" i="126"/>
  <c r="BD63" i="126"/>
  <c r="BB63" i="126"/>
  <c r="BA63" i="126"/>
  <c r="AZ63" i="126"/>
  <c r="AX63" i="126"/>
  <c r="AW63" i="126"/>
  <c r="AV63" i="126"/>
  <c r="AU63" i="126"/>
  <c r="AT63" i="126"/>
  <c r="AS63" i="126"/>
  <c r="AR63" i="126"/>
  <c r="AQ63" i="126"/>
  <c r="AP63" i="126"/>
  <c r="AO63" i="126"/>
  <c r="AN63" i="126"/>
  <c r="AL63" i="126"/>
  <c r="AK63" i="126"/>
  <c r="F63" i="126"/>
  <c r="CI63" i="126" s="1"/>
  <c r="CN62" i="126"/>
  <c r="CL62" i="126"/>
  <c r="CK62" i="126"/>
  <c r="CJ62" i="126"/>
  <c r="CI62" i="126"/>
  <c r="CH62" i="126"/>
  <c r="CG62" i="126"/>
  <c r="CE62" i="126"/>
  <c r="CD62" i="126"/>
  <c r="BV62" i="126"/>
  <c r="BR62" i="126"/>
  <c r="BN62" i="126"/>
  <c r="BM62" i="126"/>
  <c r="BK62" i="126"/>
  <c r="BJ62" i="126"/>
  <c r="BI62" i="126"/>
  <c r="BD62" i="126"/>
  <c r="BA62" i="126"/>
  <c r="AY62" i="126"/>
  <c r="AX62" i="126"/>
  <c r="AW62" i="126"/>
  <c r="AU62" i="126"/>
  <c r="AR62" i="126"/>
  <c r="AN62" i="126"/>
  <c r="F62" i="126"/>
  <c r="AT61" i="126"/>
  <c r="AS61" i="126"/>
  <c r="AR61" i="126"/>
  <c r="AQ61" i="126"/>
  <c r="AP61" i="126"/>
  <c r="AO61" i="126"/>
  <c r="AN61" i="126"/>
  <c r="AM61" i="126"/>
  <c r="AL61" i="126"/>
  <c r="AK61" i="126"/>
  <c r="AJ61" i="126"/>
  <c r="AI61" i="126"/>
  <c r="H61" i="126" s="1"/>
  <c r="F61" i="126"/>
  <c r="CO60" i="126"/>
  <c r="CL60" i="126"/>
  <c r="CK60" i="126"/>
  <c r="CJ60" i="126"/>
  <c r="CI60" i="126"/>
  <c r="CH60" i="126"/>
  <c r="CG60" i="126"/>
  <c r="CF60" i="126"/>
  <c r="CE60" i="126"/>
  <c r="CC60" i="126"/>
  <c r="CB60" i="126"/>
  <c r="BZ60" i="126"/>
  <c r="BT60" i="126"/>
  <c r="BR60" i="126"/>
  <c r="BQ60" i="126"/>
  <c r="BP60" i="126"/>
  <c r="BO60" i="126"/>
  <c r="BN60" i="126"/>
  <c r="BM60" i="126"/>
  <c r="BJ60" i="126"/>
  <c r="BI60" i="126"/>
  <c r="BH60" i="126"/>
  <c r="BE60" i="126"/>
  <c r="BD60" i="126"/>
  <c r="AZ60" i="126"/>
  <c r="AX60" i="126"/>
  <c r="AW60" i="126"/>
  <c r="AV60" i="126"/>
  <c r="AT60" i="126"/>
  <c r="AR60" i="126"/>
  <c r="AP60" i="126"/>
  <c r="AO60" i="126"/>
  <c r="AM60" i="126"/>
  <c r="AL60" i="126"/>
  <c r="AK60" i="126"/>
  <c r="AJ60" i="126"/>
  <c r="F60" i="126"/>
  <c r="CN60" i="126" s="1"/>
  <c r="CO59" i="126"/>
  <c r="CL59" i="126"/>
  <c r="CK59" i="126"/>
  <c r="CH59" i="126"/>
  <c r="CG59" i="126"/>
  <c r="CF59" i="126"/>
  <c r="CD59" i="126"/>
  <c r="CC59" i="126"/>
  <c r="CB59" i="126"/>
  <c r="CA59" i="126"/>
  <c r="BZ59" i="126"/>
  <c r="BY59" i="126"/>
  <c r="BU59" i="126"/>
  <c r="BS59" i="126"/>
  <c r="BP59" i="126"/>
  <c r="BO59" i="126"/>
  <c r="BN59" i="126"/>
  <c r="BL59" i="126"/>
  <c r="BK59" i="126"/>
  <c r="BJ59" i="126"/>
  <c r="BI59" i="126"/>
  <c r="BG59" i="126"/>
  <c r="BF59" i="126"/>
  <c r="BE59" i="126"/>
  <c r="BC59" i="126"/>
  <c r="AZ59" i="126"/>
  <c r="AX59" i="126"/>
  <c r="AV59" i="126"/>
  <c r="AT59" i="126"/>
  <c r="AS59" i="126"/>
  <c r="AQ59" i="126"/>
  <c r="AP59" i="126"/>
  <c r="AO59" i="126"/>
  <c r="AM59" i="126"/>
  <c r="AL59" i="126"/>
  <c r="AK59" i="126"/>
  <c r="AJ59" i="126"/>
  <c r="AI59" i="126"/>
  <c r="F59" i="126"/>
  <c r="CM59" i="126" s="1"/>
  <c r="F58" i="126"/>
  <c r="E57" i="126"/>
  <c r="F57" i="126" s="1"/>
  <c r="AV57" i="126" s="1"/>
  <c r="CN56" i="126"/>
  <c r="CM56" i="126"/>
  <c r="CL56" i="126"/>
  <c r="CK56" i="126"/>
  <c r="CI56" i="126"/>
  <c r="CG56" i="126"/>
  <c r="CE56" i="126"/>
  <c r="CD56" i="126"/>
  <c r="CC56" i="126"/>
  <c r="CB56" i="126"/>
  <c r="CA56" i="126"/>
  <c r="BZ56" i="126"/>
  <c r="BY56" i="126"/>
  <c r="BX56" i="126"/>
  <c r="BW56" i="126"/>
  <c r="BV56" i="126"/>
  <c r="BU56" i="126"/>
  <c r="BS56" i="126"/>
  <c r="BR56" i="126"/>
  <c r="BQ56" i="126"/>
  <c r="BN56" i="126"/>
  <c r="BM56" i="126"/>
  <c r="BL56" i="126"/>
  <c r="BK56" i="126"/>
  <c r="BJ56" i="126"/>
  <c r="BI56" i="126"/>
  <c r="BH56" i="126"/>
  <c r="BG56" i="126"/>
  <c r="BF56" i="126"/>
  <c r="BE56" i="126"/>
  <c r="BC56" i="126"/>
  <c r="BB56" i="126"/>
  <c r="BA56" i="126"/>
  <c r="AY56" i="126"/>
  <c r="AX56" i="126"/>
  <c r="AV56" i="126"/>
  <c r="AU56" i="126"/>
  <c r="AT56" i="126"/>
  <c r="AS56" i="126"/>
  <c r="AR56" i="126"/>
  <c r="AQ56" i="126"/>
  <c r="AP56" i="126"/>
  <c r="AO56" i="126"/>
  <c r="AM56" i="126"/>
  <c r="AL56" i="126"/>
  <c r="AK56" i="126"/>
  <c r="AI56" i="126"/>
  <c r="AH56" i="126"/>
  <c r="AG56" i="126"/>
  <c r="F56" i="126"/>
  <c r="BS55" i="126"/>
  <c r="F55" i="126"/>
  <c r="BN55" i="126" s="1"/>
  <c r="CJ54" i="126"/>
  <c r="CG54" i="126"/>
  <c r="CF54" i="126"/>
  <c r="CE54" i="126"/>
  <c r="BX54" i="126"/>
  <c r="BU54" i="126"/>
  <c r="BT54" i="126"/>
  <c r="BS54" i="126"/>
  <c r="BR54" i="126"/>
  <c r="BQ54" i="126"/>
  <c r="BP54" i="126"/>
  <c r="BO54" i="126"/>
  <c r="BK54" i="126"/>
  <c r="BA54" i="126"/>
  <c r="AZ54" i="126"/>
  <c r="AY54" i="126"/>
  <c r="AW54" i="126"/>
  <c r="AV54" i="126"/>
  <c r="AU54" i="126"/>
  <c r="AS54" i="126"/>
  <c r="AR54" i="126"/>
  <c r="AP54" i="126"/>
  <c r="AO54" i="126"/>
  <c r="AN54" i="126"/>
  <c r="AF54" i="126"/>
  <c r="F54" i="126"/>
  <c r="CL53" i="126"/>
  <c r="CK53" i="126"/>
  <c r="CJ53" i="126"/>
  <c r="CH53" i="126"/>
  <c r="CG53" i="126"/>
  <c r="CF53" i="126"/>
  <c r="CD53" i="126"/>
  <c r="CC53" i="126"/>
  <c r="BY53" i="126"/>
  <c r="BW53" i="126"/>
  <c r="BU53" i="126"/>
  <c r="BR53" i="126"/>
  <c r="BK53" i="126"/>
  <c r="BI53" i="126"/>
  <c r="BG53" i="126"/>
  <c r="BD53" i="126"/>
  <c r="BC53" i="126"/>
  <c r="BA53" i="126"/>
  <c r="AZ53" i="126"/>
  <c r="AX53" i="126"/>
  <c r="AW53" i="126"/>
  <c r="AQ53" i="126"/>
  <c r="AN53" i="126"/>
  <c r="AM53" i="126"/>
  <c r="AJ53" i="126"/>
  <c r="AI53" i="126"/>
  <c r="F53" i="126"/>
  <c r="BE52" i="126"/>
  <c r="BD52" i="126"/>
  <c r="BC52" i="126"/>
  <c r="BB52" i="126"/>
  <c r="BA52" i="126"/>
  <c r="AZ52" i="126"/>
  <c r="AY52" i="126"/>
  <c r="AX52" i="126"/>
  <c r="AV52" i="126"/>
  <c r="AT52" i="126"/>
  <c r="AR52" i="126"/>
  <c r="AO52" i="126"/>
  <c r="AM52" i="126"/>
  <c r="AL52" i="126"/>
  <c r="AK52" i="126"/>
  <c r="AJ52" i="126"/>
  <c r="AI52" i="126"/>
  <c r="AH52" i="126"/>
  <c r="AG52" i="126"/>
  <c r="AF52" i="126"/>
  <c r="AD52" i="126"/>
  <c r="F52" i="126"/>
  <c r="AP52" i="126" s="1"/>
  <c r="F51" i="126"/>
  <c r="AH51" i="126" s="1"/>
  <c r="CK50" i="126"/>
  <c r="CJ50" i="126"/>
  <c r="CH50" i="126"/>
  <c r="CG50" i="126"/>
  <c r="CE50" i="126"/>
  <c r="BX50" i="126"/>
  <c r="BU50" i="126"/>
  <c r="BT50" i="126"/>
  <c r="BR50" i="126"/>
  <c r="BQ50" i="126"/>
  <c r="BP50" i="126"/>
  <c r="BO50" i="126"/>
  <c r="BM50" i="126"/>
  <c r="BL50" i="126"/>
  <c r="BK50" i="126"/>
  <c r="BF50" i="126"/>
  <c r="BE50" i="126"/>
  <c r="BB50" i="126"/>
  <c r="AY50" i="126"/>
  <c r="AW50" i="126"/>
  <c r="AU50" i="126"/>
  <c r="AT50" i="126"/>
  <c r="AS50" i="126"/>
  <c r="AP50" i="126"/>
  <c r="AO50" i="126"/>
  <c r="AK50" i="126"/>
  <c r="AJ50" i="126"/>
  <c r="AH50" i="126"/>
  <c r="AG50" i="126"/>
  <c r="AF50" i="126"/>
  <c r="AE50" i="126"/>
  <c r="F50" i="126"/>
  <c r="BV50" i="126" s="1"/>
  <c r="AN49" i="126"/>
  <c r="F49" i="126"/>
  <c r="CK48" i="126"/>
  <c r="CH48" i="126"/>
  <c r="CG48" i="126"/>
  <c r="CF48" i="126"/>
  <c r="CC48" i="126"/>
  <c r="CB48" i="126"/>
  <c r="CA48" i="126"/>
  <c r="BZ48" i="126"/>
  <c r="BY48" i="126"/>
  <c r="BX48" i="126"/>
  <c r="BW48" i="126"/>
  <c r="BV48" i="126"/>
  <c r="BU48" i="126"/>
  <c r="BT48" i="126"/>
  <c r="BR48" i="126"/>
  <c r="BP48" i="126"/>
  <c r="BN48" i="126"/>
  <c r="BM48" i="126"/>
  <c r="BK48" i="126"/>
  <c r="BJ48" i="126"/>
  <c r="BI48" i="126"/>
  <c r="BH48" i="126"/>
  <c r="BG48" i="126"/>
  <c r="BF48" i="126"/>
  <c r="BE48" i="126"/>
  <c r="BD48" i="126"/>
  <c r="BB48" i="126"/>
  <c r="BA48" i="126"/>
  <c r="AZ48" i="126"/>
  <c r="AW48" i="126"/>
  <c r="AV48" i="126"/>
  <c r="AU48" i="126"/>
  <c r="AS48" i="126"/>
  <c r="AR48" i="126"/>
  <c r="AQ48" i="126"/>
  <c r="AP48" i="126"/>
  <c r="AO48" i="126"/>
  <c r="AN48" i="126"/>
  <c r="AL48" i="126"/>
  <c r="AK48" i="126"/>
  <c r="AJ48" i="126"/>
  <c r="AH48" i="126"/>
  <c r="AG48" i="126"/>
  <c r="AE48" i="126"/>
  <c r="AD48" i="126"/>
  <c r="F48" i="126"/>
  <c r="AN47" i="126"/>
  <c r="AM47" i="126"/>
  <c r="AL47" i="126"/>
  <c r="AK47" i="126"/>
  <c r="AI47" i="126"/>
  <c r="AH47" i="126"/>
  <c r="AG47" i="126"/>
  <c r="AE47" i="126"/>
  <c r="AD47" i="126"/>
  <c r="AC47" i="126"/>
  <c r="F47" i="126"/>
  <c r="CI46" i="126"/>
  <c r="CA46" i="126"/>
  <c r="BY46" i="126"/>
  <c r="BX46" i="126"/>
  <c r="BW46" i="126"/>
  <c r="BV46" i="126"/>
  <c r="BM46" i="126"/>
  <c r="BH46" i="126"/>
  <c r="BF46" i="126"/>
  <c r="BE46" i="126"/>
  <c r="BD46" i="126"/>
  <c r="AW46" i="126"/>
  <c r="AR46" i="126"/>
  <c r="AN46" i="126"/>
  <c r="AK46" i="126"/>
  <c r="AJ46" i="126"/>
  <c r="AG46" i="126"/>
  <c r="AF46" i="126"/>
  <c r="AE46" i="126"/>
  <c r="F46" i="126"/>
  <c r="BG46" i="126" s="1"/>
  <c r="AN45" i="126"/>
  <c r="AM45" i="126"/>
  <c r="AK45" i="126"/>
  <c r="AJ45" i="126"/>
  <c r="AI45" i="126"/>
  <c r="AG45" i="126"/>
  <c r="AE45" i="126"/>
  <c r="F45" i="126"/>
  <c r="AN44" i="126"/>
  <c r="AM44" i="126"/>
  <c r="AL44" i="126"/>
  <c r="AK44" i="126"/>
  <c r="AH44" i="126"/>
  <c r="AG44" i="126"/>
  <c r="F44" i="126"/>
  <c r="AL43" i="126"/>
  <c r="AK43" i="126"/>
  <c r="AJ43" i="126"/>
  <c r="AH43" i="126"/>
  <c r="AG43" i="126"/>
  <c r="AF43" i="126"/>
  <c r="AE43" i="126"/>
  <c r="AD43" i="126"/>
  <c r="AC43" i="126"/>
  <c r="F43" i="126"/>
  <c r="CJ42" i="126"/>
  <c r="CI42" i="126"/>
  <c r="CG42" i="126"/>
  <c r="CD42" i="126"/>
  <c r="CC42" i="126"/>
  <c r="CB42" i="126"/>
  <c r="BZ42" i="126"/>
  <c r="BY42" i="126"/>
  <c r="BX42" i="126"/>
  <c r="BW42" i="126"/>
  <c r="BU42" i="126"/>
  <c r="BT42" i="126"/>
  <c r="BS42" i="126"/>
  <c r="BQ42" i="126"/>
  <c r="BO42" i="126"/>
  <c r="BN42" i="126"/>
  <c r="BL42" i="126"/>
  <c r="BJ42" i="126"/>
  <c r="BH42" i="126"/>
  <c r="BG42" i="126"/>
  <c r="BE42" i="126"/>
  <c r="BD42" i="126"/>
  <c r="BC42" i="126"/>
  <c r="BA42" i="126"/>
  <c r="AZ42" i="126"/>
  <c r="AY42" i="126"/>
  <c r="AX42" i="126"/>
  <c r="AW42" i="126"/>
  <c r="AT42" i="126"/>
  <c r="AS42" i="126"/>
  <c r="AR42" i="126"/>
  <c r="AN42" i="126"/>
  <c r="AM42" i="126"/>
  <c r="AK42" i="126"/>
  <c r="AJ42" i="126"/>
  <c r="AI42" i="126"/>
  <c r="AH42" i="126"/>
  <c r="AG42" i="126"/>
  <c r="AF42" i="126"/>
  <c r="AE42" i="126"/>
  <c r="AD42" i="126"/>
  <c r="F42" i="126"/>
  <c r="CF42" i="126" s="1"/>
  <c r="F41" i="126"/>
  <c r="AD41" i="126" s="1"/>
  <c r="AK40" i="126"/>
  <c r="AH40" i="126"/>
  <c r="AG40" i="126"/>
  <c r="AF40" i="126"/>
  <c r="AB40" i="126"/>
  <c r="F40" i="126"/>
  <c r="AI39" i="126"/>
  <c r="AA39" i="126"/>
  <c r="F39" i="126"/>
  <c r="BO38" i="126"/>
  <c r="BF38" i="126"/>
  <c r="BE38" i="126"/>
  <c r="F38" i="126"/>
  <c r="AX38" i="126" s="1"/>
  <c r="CD37" i="126"/>
  <c r="CC37" i="126"/>
  <c r="CA37" i="126"/>
  <c r="BY37" i="126"/>
  <c r="BV37" i="126"/>
  <c r="BU37" i="126"/>
  <c r="BT37" i="126"/>
  <c r="BR37" i="126"/>
  <c r="BQ37" i="126"/>
  <c r="BP37" i="126"/>
  <c r="BO37" i="126"/>
  <c r="BN37" i="126"/>
  <c r="BM37" i="126"/>
  <c r="BL37" i="126"/>
  <c r="BI37" i="126"/>
  <c r="BH37" i="126"/>
  <c r="BF37" i="126"/>
  <c r="BC37" i="126"/>
  <c r="BB37" i="126"/>
  <c r="BA37" i="126"/>
  <c r="AZ37" i="126"/>
  <c r="AY37" i="126"/>
  <c r="AX37" i="126"/>
  <c r="AW37" i="126"/>
  <c r="AV37" i="126"/>
  <c r="AU37" i="126"/>
  <c r="AT37" i="126"/>
  <c r="AR37" i="126"/>
  <c r="AO37" i="126"/>
  <c r="AM37" i="126"/>
  <c r="AL37" i="126"/>
  <c r="AJ37" i="126"/>
  <c r="AI37" i="126"/>
  <c r="AH37" i="126"/>
  <c r="AG37" i="126"/>
  <c r="AF37" i="126"/>
  <c r="AE37" i="126"/>
  <c r="AD37" i="126"/>
  <c r="AC37" i="126"/>
  <c r="Z37" i="126"/>
  <c r="Y37" i="126"/>
  <c r="X37" i="126"/>
  <c r="F37" i="126"/>
  <c r="BZ37" i="126" s="1"/>
  <c r="CD36" i="126"/>
  <c r="CC36" i="126"/>
  <c r="CB36" i="126"/>
  <c r="CA36" i="126"/>
  <c r="BZ36" i="126"/>
  <c r="BY36" i="126"/>
  <c r="BX36" i="126"/>
  <c r="BW36" i="126"/>
  <c r="BV36" i="126"/>
  <c r="BS36" i="126"/>
  <c r="BR36" i="126"/>
  <c r="BQ36" i="126"/>
  <c r="BP36" i="126"/>
  <c r="BO36" i="126"/>
  <c r="BN36" i="126"/>
  <c r="BM36" i="126"/>
  <c r="BL36" i="126"/>
  <c r="BK36" i="126"/>
  <c r="BJ36" i="126"/>
  <c r="BI36" i="126"/>
  <c r="BH36" i="126"/>
  <c r="BG36" i="126"/>
  <c r="BF36" i="126"/>
  <c r="BD36" i="126"/>
  <c r="BB36" i="126"/>
  <c r="BA36" i="126"/>
  <c r="AZ36" i="126"/>
  <c r="AY36" i="126"/>
  <c r="AX36" i="126"/>
  <c r="AW36" i="126"/>
  <c r="AV36" i="126"/>
  <c r="AU36" i="126"/>
  <c r="AT36" i="126"/>
  <c r="AS36" i="126"/>
  <c r="AR36" i="126"/>
  <c r="AQ36" i="126"/>
  <c r="AP36" i="126"/>
  <c r="AN36" i="126"/>
  <c r="AM36" i="126"/>
  <c r="AK36" i="126"/>
  <c r="AJ36" i="126"/>
  <c r="AI36" i="126"/>
  <c r="AH36" i="126"/>
  <c r="AG36" i="126"/>
  <c r="AF36" i="126"/>
  <c r="AE36" i="126"/>
  <c r="AD36" i="126"/>
  <c r="AC36" i="126"/>
  <c r="AB36" i="126"/>
  <c r="AA36" i="126"/>
  <c r="Z36" i="126"/>
  <c r="X36" i="126"/>
  <c r="W36" i="126"/>
  <c r="F36" i="126"/>
  <c r="AZ35" i="126"/>
  <c r="AU35" i="126"/>
  <c r="AS35" i="126"/>
  <c r="F35" i="126"/>
  <c r="BY35" i="126" s="1"/>
  <c r="CA34" i="126"/>
  <c r="BZ34" i="126"/>
  <c r="BX34" i="126"/>
  <c r="BW34" i="126"/>
  <c r="BV34" i="126"/>
  <c r="BS34" i="126"/>
  <c r="BR34" i="126"/>
  <c r="BQ34" i="126"/>
  <c r="BP34" i="126"/>
  <c r="BO34" i="126"/>
  <c r="BN34" i="126"/>
  <c r="BM34" i="126"/>
  <c r="BL34" i="126"/>
  <c r="BK34" i="126"/>
  <c r="BJ34" i="126"/>
  <c r="BH34" i="126"/>
  <c r="BG34" i="126"/>
  <c r="BF34" i="126"/>
  <c r="BD34" i="126"/>
  <c r="BC34" i="126"/>
  <c r="BA34" i="126"/>
  <c r="AZ34" i="126"/>
  <c r="AY34" i="126"/>
  <c r="AX34" i="126"/>
  <c r="AW34" i="126"/>
  <c r="AV34" i="126"/>
  <c r="AU34" i="126"/>
  <c r="AT34" i="126"/>
  <c r="AR34" i="126"/>
  <c r="AQ34" i="126"/>
  <c r="AP34" i="126"/>
  <c r="AN34" i="126"/>
  <c r="AM34" i="126"/>
  <c r="AL34" i="126"/>
  <c r="AK34" i="126"/>
  <c r="AI34" i="126"/>
  <c r="AH34" i="126"/>
  <c r="AG34" i="126"/>
  <c r="AF34" i="126"/>
  <c r="AE34" i="126"/>
  <c r="AD34" i="126"/>
  <c r="AB34" i="126"/>
  <c r="AA34" i="126"/>
  <c r="Z34" i="126"/>
  <c r="X34" i="126"/>
  <c r="W34" i="126"/>
  <c r="V34" i="126"/>
  <c r="U34" i="126"/>
  <c r="T34" i="126"/>
  <c r="F34" i="126"/>
  <c r="AS33" i="126"/>
  <c r="F33" i="126"/>
  <c r="BT33" i="126" s="1"/>
  <c r="BX32" i="126"/>
  <c r="BS32" i="126"/>
  <c r="BQ32" i="126"/>
  <c r="BM32" i="126"/>
  <c r="BK32" i="126"/>
  <c r="BJ32" i="126"/>
  <c r="BI32" i="126"/>
  <c r="BH32" i="126"/>
  <c r="BG32" i="126"/>
  <c r="BF32" i="126"/>
  <c r="BE32" i="126"/>
  <c r="BC32" i="126"/>
  <c r="AX32" i="126"/>
  <c r="AU32" i="126"/>
  <c r="AT32" i="126"/>
  <c r="AS32" i="126"/>
  <c r="AR32" i="126"/>
  <c r="AP32" i="126"/>
  <c r="AM32" i="126"/>
  <c r="AL32" i="126"/>
  <c r="AK32" i="126"/>
  <c r="AH32" i="126"/>
  <c r="AG32" i="126"/>
  <c r="AC32" i="126"/>
  <c r="AA32" i="126"/>
  <c r="Z32" i="126"/>
  <c r="Y32" i="126"/>
  <c r="W32" i="126"/>
  <c r="V32" i="126"/>
  <c r="U32" i="126"/>
  <c r="S32" i="126"/>
  <c r="F32" i="126"/>
  <c r="S31" i="126"/>
  <c r="R31" i="126"/>
  <c r="Q31" i="126"/>
  <c r="P31" i="126"/>
  <c r="H31" i="126" s="1"/>
  <c r="F31" i="126"/>
  <c r="T31" i="126" s="1"/>
  <c r="BW30" i="126"/>
  <c r="BV30" i="126"/>
  <c r="BU30" i="126"/>
  <c r="BT30" i="126"/>
  <c r="BS30" i="126"/>
  <c r="BR30" i="126"/>
  <c r="BQ30" i="126"/>
  <c r="BP30" i="126"/>
  <c r="BO30" i="126"/>
  <c r="BN30" i="126"/>
  <c r="BM30" i="126"/>
  <c r="BL30" i="126"/>
  <c r="BK30" i="126"/>
  <c r="BI30" i="126"/>
  <c r="BH30" i="126"/>
  <c r="BG30" i="126"/>
  <c r="BF30" i="126"/>
  <c r="BE30" i="126"/>
  <c r="BD30" i="126"/>
  <c r="BC30" i="126"/>
  <c r="BB30" i="126"/>
  <c r="BA30" i="126"/>
  <c r="AZ30" i="126"/>
  <c r="AY30" i="126"/>
  <c r="AX30" i="126"/>
  <c r="AW30" i="126"/>
  <c r="AV30" i="126"/>
  <c r="AU30" i="126"/>
  <c r="AS30" i="126"/>
  <c r="AR30" i="126"/>
  <c r="AQ30" i="126"/>
  <c r="AP30" i="126"/>
  <c r="AO30" i="126"/>
  <c r="AN30" i="126"/>
  <c r="AM30" i="126"/>
  <c r="AL30" i="126"/>
  <c r="AK30" i="126"/>
  <c r="AJ30" i="126"/>
  <c r="AI30" i="126"/>
  <c r="AH30" i="126"/>
  <c r="AG30" i="126"/>
  <c r="AF30" i="126"/>
  <c r="AE30" i="126"/>
  <c r="AC30" i="126"/>
  <c r="AB30" i="126"/>
  <c r="AA30" i="126"/>
  <c r="Z30" i="126"/>
  <c r="Y30" i="126"/>
  <c r="X30" i="126"/>
  <c r="W30" i="126"/>
  <c r="V30" i="126"/>
  <c r="U30" i="126"/>
  <c r="T30" i="126"/>
  <c r="S30" i="126"/>
  <c r="R30" i="126"/>
  <c r="Q30" i="126"/>
  <c r="P30" i="126"/>
  <c r="F30" i="126"/>
  <c r="BJ30" i="126" s="1"/>
  <c r="BV29" i="126"/>
  <c r="BT29" i="126"/>
  <c r="BR29" i="126"/>
  <c r="BQ29" i="126"/>
  <c r="BP29" i="126"/>
  <c r="BO29" i="126"/>
  <c r="BN29" i="126"/>
  <c r="BL29" i="126"/>
  <c r="BK29" i="126"/>
  <c r="BJ29" i="126"/>
  <c r="BG29" i="126"/>
  <c r="BF29" i="126"/>
  <c r="BD29" i="126"/>
  <c r="BC29" i="126"/>
  <c r="BA29" i="126"/>
  <c r="AZ29" i="126"/>
  <c r="AX29" i="126"/>
  <c r="AW29" i="126"/>
  <c r="AV29" i="126"/>
  <c r="AT29" i="126"/>
  <c r="AR29" i="126"/>
  <c r="AQ29" i="126"/>
  <c r="AN29" i="126"/>
  <c r="AM29" i="126"/>
  <c r="AL29" i="126"/>
  <c r="AK29" i="126"/>
  <c r="AJ29" i="126"/>
  <c r="AI29" i="126"/>
  <c r="AG29" i="126"/>
  <c r="AF29" i="126"/>
  <c r="AD29" i="126"/>
  <c r="AA29" i="126"/>
  <c r="Z29" i="126"/>
  <c r="X29" i="126"/>
  <c r="V29" i="126"/>
  <c r="U29" i="126"/>
  <c r="T29" i="126"/>
  <c r="S29" i="126"/>
  <c r="R29" i="126"/>
  <c r="Q29" i="126"/>
  <c r="P29" i="126"/>
  <c r="F29" i="126"/>
  <c r="BS29" i="126" s="1"/>
  <c r="BW28" i="126"/>
  <c r="BV28" i="126"/>
  <c r="BU28" i="126"/>
  <c r="BS28" i="126"/>
  <c r="BR28" i="126"/>
  <c r="BQ28" i="126"/>
  <c r="BO28" i="126"/>
  <c r="BN28" i="126"/>
  <c r="BM28" i="126"/>
  <c r="BL28" i="126"/>
  <c r="BK28" i="126"/>
  <c r="BJ28" i="126"/>
  <c r="BI28" i="126"/>
  <c r="BG28" i="126"/>
  <c r="BF28" i="126"/>
  <c r="BE28" i="126"/>
  <c r="BC28" i="126"/>
  <c r="BB28" i="126"/>
  <c r="BA28" i="126"/>
  <c r="AZ28" i="126"/>
  <c r="AY28" i="126"/>
  <c r="AW28" i="126"/>
  <c r="AV28" i="126"/>
  <c r="AU28" i="126"/>
  <c r="AT28" i="126"/>
  <c r="AS28" i="126"/>
  <c r="AQ28" i="126"/>
  <c r="AP28" i="126"/>
  <c r="AO28" i="126"/>
  <c r="AM28" i="126"/>
  <c r="AL28" i="126"/>
  <c r="AK28" i="126"/>
  <c r="AJ28" i="126"/>
  <c r="AI28" i="126"/>
  <c r="AH28" i="126"/>
  <c r="AG28" i="126"/>
  <c r="AE28" i="126"/>
  <c r="AD28" i="126"/>
  <c r="AC28" i="126"/>
  <c r="AA28" i="126"/>
  <c r="Z28" i="126"/>
  <c r="Y28" i="126"/>
  <c r="W28" i="126"/>
  <c r="V28" i="126"/>
  <c r="U28" i="126"/>
  <c r="T28" i="126"/>
  <c r="S28" i="126"/>
  <c r="R28" i="126"/>
  <c r="Q28" i="126"/>
  <c r="P28" i="126"/>
  <c r="F28" i="126"/>
  <c r="Z27" i="126"/>
  <c r="Y27" i="126"/>
  <c r="X27" i="126"/>
  <c r="V27" i="126"/>
  <c r="U27" i="126"/>
  <c r="T27" i="126"/>
  <c r="S27" i="126"/>
  <c r="R27" i="126"/>
  <c r="Q27" i="126"/>
  <c r="P27" i="126"/>
  <c r="F27" i="126"/>
  <c r="BW26" i="126"/>
  <c r="BS26" i="126"/>
  <c r="BQ26" i="126"/>
  <c r="BP26" i="126"/>
  <c r="BO26" i="126"/>
  <c r="BN26" i="126"/>
  <c r="BM26" i="126"/>
  <c r="BL26" i="126"/>
  <c r="BK26" i="126"/>
  <c r="BJ26" i="126"/>
  <c r="BI26" i="126"/>
  <c r="BG26" i="126"/>
  <c r="BE26" i="126"/>
  <c r="BA26" i="126"/>
  <c r="AZ26" i="126"/>
  <c r="AX26" i="126"/>
  <c r="AW26" i="126"/>
  <c r="AV26" i="126"/>
  <c r="AU26" i="126"/>
  <c r="AT26" i="126"/>
  <c r="AS26" i="126"/>
  <c r="AR26" i="126"/>
  <c r="AQ26" i="126"/>
  <c r="AN26" i="126"/>
  <c r="AM26" i="126"/>
  <c r="AK26" i="126"/>
  <c r="AI26" i="126"/>
  <c r="AG26" i="126"/>
  <c r="AF26" i="126"/>
  <c r="AD26" i="126"/>
  <c r="AC26" i="126"/>
  <c r="AB26" i="126"/>
  <c r="AA26" i="126"/>
  <c r="Y26" i="126"/>
  <c r="X26" i="126"/>
  <c r="U26" i="126"/>
  <c r="T26" i="126"/>
  <c r="S26" i="126"/>
  <c r="Q26" i="126"/>
  <c r="P26" i="126"/>
  <c r="F26" i="126"/>
  <c r="BT26" i="126" s="1"/>
  <c r="BW25" i="126"/>
  <c r="BT25" i="126"/>
  <c r="BS25" i="126"/>
  <c r="BR25" i="126"/>
  <c r="BP25" i="126"/>
  <c r="BN25" i="126"/>
  <c r="BM25" i="126"/>
  <c r="BL25" i="126"/>
  <c r="BJ25" i="126"/>
  <c r="BI25" i="126"/>
  <c r="BH25" i="126"/>
  <c r="BG25" i="126"/>
  <c r="BF25" i="126"/>
  <c r="BB25" i="126"/>
  <c r="AY25" i="126"/>
  <c r="AX25" i="126"/>
  <c r="AV25" i="126"/>
  <c r="AU25" i="126"/>
  <c r="AT25" i="126"/>
  <c r="AR25" i="126"/>
  <c r="AQ25" i="126"/>
  <c r="AP25" i="126"/>
  <c r="AN25" i="126"/>
  <c r="AM25" i="126"/>
  <c r="AL25" i="126"/>
  <c r="AJ25" i="126"/>
  <c r="AG25" i="126"/>
  <c r="AD25" i="126"/>
  <c r="AC25" i="126"/>
  <c r="AB25" i="126"/>
  <c r="Z25" i="126"/>
  <c r="X25" i="126"/>
  <c r="W25" i="126"/>
  <c r="V25" i="126"/>
  <c r="T25" i="126"/>
  <c r="S25" i="126"/>
  <c r="R25" i="126"/>
  <c r="Q25" i="126"/>
  <c r="P25" i="126"/>
  <c r="F25" i="126"/>
  <c r="BV25" i="126" s="1"/>
  <c r="BW24" i="126"/>
  <c r="BU24" i="126"/>
  <c r="BR24" i="126"/>
  <c r="BQ24" i="126"/>
  <c r="BO24" i="126"/>
  <c r="BN24" i="126"/>
  <c r="BM24" i="126"/>
  <c r="BL24" i="126"/>
  <c r="BK24" i="126"/>
  <c r="BJ24" i="126"/>
  <c r="BI24" i="126"/>
  <c r="BH24" i="126"/>
  <c r="BG24" i="126"/>
  <c r="BC24" i="126"/>
  <c r="BB24" i="126"/>
  <c r="AX24" i="126"/>
  <c r="AW24" i="126"/>
  <c r="AV24" i="126"/>
  <c r="AU24" i="126"/>
  <c r="AT24" i="126"/>
  <c r="AS24" i="126"/>
  <c r="AR24" i="126"/>
  <c r="AQ24" i="126"/>
  <c r="AP24" i="126"/>
  <c r="AO24" i="126"/>
  <c r="AL24" i="126"/>
  <c r="AK24" i="126"/>
  <c r="AG24" i="126"/>
  <c r="AF24" i="126"/>
  <c r="AD24" i="126"/>
  <c r="AC24" i="126"/>
  <c r="AB24" i="126"/>
  <c r="AA24" i="126"/>
  <c r="Z24" i="126"/>
  <c r="Y24" i="126"/>
  <c r="W24" i="126"/>
  <c r="V24" i="126"/>
  <c r="S24" i="126"/>
  <c r="R24" i="126"/>
  <c r="Q24" i="126"/>
  <c r="F24" i="126"/>
  <c r="BV24" i="126" s="1"/>
  <c r="BV23" i="126"/>
  <c r="BU23" i="126"/>
  <c r="BT23" i="126"/>
  <c r="BS23" i="126"/>
  <c r="BQ23" i="126"/>
  <c r="BP23" i="126"/>
  <c r="BO23" i="126"/>
  <c r="BM23" i="126"/>
  <c r="BK23" i="126"/>
  <c r="BJ23" i="126"/>
  <c r="BI23" i="126"/>
  <c r="BG23" i="126"/>
  <c r="BF23" i="126"/>
  <c r="BE23" i="126"/>
  <c r="BD23" i="126"/>
  <c r="BC23" i="126"/>
  <c r="BA23" i="126"/>
  <c r="AZ23" i="126"/>
  <c r="AY23" i="126"/>
  <c r="AX23" i="126"/>
  <c r="AW23" i="126"/>
  <c r="AV23" i="126"/>
  <c r="AT23" i="126"/>
  <c r="AS23" i="126"/>
  <c r="AR23" i="126"/>
  <c r="AP23" i="126"/>
  <c r="AO23" i="126"/>
  <c r="AN23" i="126"/>
  <c r="AM23" i="126"/>
  <c r="AK23" i="126"/>
  <c r="AJ23" i="126"/>
  <c r="AI23" i="126"/>
  <c r="AH23" i="126"/>
  <c r="AG23" i="126"/>
  <c r="AF23" i="126"/>
  <c r="AE23" i="126"/>
  <c r="AC23" i="126"/>
  <c r="AB23" i="126"/>
  <c r="AA23" i="126"/>
  <c r="Y23" i="126"/>
  <c r="X23" i="126"/>
  <c r="W23" i="126"/>
  <c r="U23" i="126"/>
  <c r="T23" i="126"/>
  <c r="S23" i="126"/>
  <c r="R23" i="126"/>
  <c r="Q23" i="126"/>
  <c r="P23" i="126"/>
  <c r="O23" i="126"/>
  <c r="F23" i="126"/>
  <c r="BH23" i="126" s="1"/>
  <c r="BU22" i="126"/>
  <c r="BT22" i="126"/>
  <c r="BM22" i="126"/>
  <c r="BL22" i="126"/>
  <c r="BK22" i="126"/>
  <c r="BJ22" i="126"/>
  <c r="BG22" i="126"/>
  <c r="AQ22" i="126"/>
  <c r="AM22" i="126"/>
  <c r="AI22" i="126"/>
  <c r="AH22" i="126"/>
  <c r="AG22" i="126"/>
  <c r="AF22" i="126"/>
  <c r="AE22" i="126"/>
  <c r="AD22" i="126"/>
  <c r="AC22" i="126"/>
  <c r="F22" i="126"/>
  <c r="BT21" i="126"/>
  <c r="BS21" i="126"/>
  <c r="BR21" i="126"/>
  <c r="BP21" i="126"/>
  <c r="BO21" i="126"/>
  <c r="BM21" i="126"/>
  <c r="BI21" i="126"/>
  <c r="BC21" i="126"/>
  <c r="BB21" i="126"/>
  <c r="BA21" i="126"/>
  <c r="AY21" i="126"/>
  <c r="AW21" i="126"/>
  <c r="AV21" i="126"/>
  <c r="AT21" i="126"/>
  <c r="AS21" i="126"/>
  <c r="AP21" i="126"/>
  <c r="AN21" i="126"/>
  <c r="AM21" i="126"/>
  <c r="AL21" i="126"/>
  <c r="AE21" i="126"/>
  <c r="AC21" i="126"/>
  <c r="AB21" i="126"/>
  <c r="AA21" i="126"/>
  <c r="Z21" i="126"/>
  <c r="W21" i="126"/>
  <c r="U21" i="126"/>
  <c r="T21" i="126"/>
  <c r="S21" i="126"/>
  <c r="P21" i="126"/>
  <c r="O21" i="126"/>
  <c r="N21" i="126"/>
  <c r="F21" i="126"/>
  <c r="BE21" i="126" s="1"/>
  <c r="BR20" i="126"/>
  <c r="BQ20" i="126"/>
  <c r="BN20" i="126"/>
  <c r="BK20" i="126"/>
  <c r="BI20" i="126"/>
  <c r="BH20" i="126"/>
  <c r="BG20" i="126"/>
  <c r="BE20" i="126"/>
  <c r="AL20" i="126"/>
  <c r="AK20" i="126"/>
  <c r="AJ20" i="126"/>
  <c r="AI20" i="126"/>
  <c r="AH20" i="126"/>
  <c r="AG20" i="126"/>
  <c r="AE20" i="126"/>
  <c r="AD20" i="126"/>
  <c r="F20" i="126"/>
  <c r="BC20" i="126" s="1"/>
  <c r="BR19" i="126"/>
  <c r="BP19" i="126"/>
  <c r="BN19" i="126"/>
  <c r="BM19" i="126"/>
  <c r="BL19" i="126"/>
  <c r="BK19" i="126"/>
  <c r="BI19" i="126"/>
  <c r="BH19" i="126"/>
  <c r="BG19" i="126"/>
  <c r="BF19" i="126"/>
  <c r="BE19" i="126"/>
  <c r="BC19" i="126"/>
  <c r="BB19" i="126"/>
  <c r="BA19" i="126"/>
  <c r="AY19" i="126"/>
  <c r="AX19" i="126"/>
  <c r="AW19" i="126"/>
  <c r="AU19" i="126"/>
  <c r="AS19" i="126"/>
  <c r="AR19" i="126"/>
  <c r="AQ19" i="126"/>
  <c r="AP19" i="126"/>
  <c r="AO19" i="126"/>
  <c r="AN19" i="126"/>
  <c r="AL19" i="126"/>
  <c r="AK19" i="126"/>
  <c r="AJ19" i="126"/>
  <c r="AH19" i="126"/>
  <c r="AG19" i="126"/>
  <c r="AF19" i="126"/>
  <c r="AE19" i="126"/>
  <c r="AC19" i="126"/>
  <c r="AA19" i="126"/>
  <c r="Z19" i="126"/>
  <c r="Y19" i="126"/>
  <c r="X19" i="126"/>
  <c r="W19" i="126"/>
  <c r="U19" i="126"/>
  <c r="T19" i="126"/>
  <c r="S19" i="126"/>
  <c r="Q19" i="126"/>
  <c r="P19" i="126"/>
  <c r="O19" i="126"/>
  <c r="M19" i="126"/>
  <c r="L19" i="126"/>
  <c r="K19" i="126"/>
  <c r="F19" i="126"/>
  <c r="BR18" i="126"/>
  <c r="BQ18" i="126"/>
  <c r="BJ18" i="126"/>
  <c r="BH18" i="126"/>
  <c r="BG18" i="126"/>
  <c r="BF18" i="126"/>
  <c r="AR18" i="126"/>
  <c r="AM18" i="126"/>
  <c r="AL18" i="126"/>
  <c r="AI18" i="126"/>
  <c r="AF18" i="126"/>
  <c r="AE18" i="126"/>
  <c r="AB18" i="126"/>
  <c r="AA18" i="126"/>
  <c r="Z18" i="126"/>
  <c r="F18" i="126"/>
  <c r="BR17" i="126"/>
  <c r="BQ17" i="126"/>
  <c r="BP17" i="126"/>
  <c r="BO17" i="126"/>
  <c r="BN17" i="126"/>
  <c r="BM17" i="126"/>
  <c r="BL17" i="126"/>
  <c r="BJ17" i="126"/>
  <c r="BC17" i="126"/>
  <c r="AZ17" i="126"/>
  <c r="AY17" i="126"/>
  <c r="AX17" i="126"/>
  <c r="AW17" i="126"/>
  <c r="AV17" i="126"/>
  <c r="AU17" i="126"/>
  <c r="AS17" i="126"/>
  <c r="AQ17" i="126"/>
  <c r="AP17" i="126"/>
  <c r="AM17" i="126"/>
  <c r="AL17" i="126"/>
  <c r="AJ17" i="126"/>
  <c r="AH17" i="126"/>
  <c r="AE17" i="126"/>
  <c r="AD17" i="126"/>
  <c r="AA17" i="126"/>
  <c r="Z17" i="126"/>
  <c r="Y17" i="126"/>
  <c r="W17" i="126"/>
  <c r="V17" i="126"/>
  <c r="T17" i="126"/>
  <c r="S17" i="126"/>
  <c r="Q17" i="126"/>
  <c r="P17" i="126"/>
  <c r="O17" i="126"/>
  <c r="M17" i="126"/>
  <c r="F17" i="126"/>
  <c r="BP16" i="126"/>
  <c r="BO16" i="126"/>
  <c r="BN16" i="126"/>
  <c r="BM16" i="126"/>
  <c r="BK16" i="126"/>
  <c r="BJ16" i="126"/>
  <c r="BH16" i="126"/>
  <c r="BG16" i="126"/>
  <c r="BE16" i="126"/>
  <c r="BC16" i="126"/>
  <c r="BB16" i="126"/>
  <c r="AV16" i="126"/>
  <c r="AU16" i="126"/>
  <c r="AT16" i="126"/>
  <c r="AR16" i="126"/>
  <c r="AQ16" i="126"/>
  <c r="AN16" i="126"/>
  <c r="AL16" i="126"/>
  <c r="AK16" i="126"/>
  <c r="AJ16" i="126"/>
  <c r="AH16" i="126"/>
  <c r="AG16" i="126"/>
  <c r="AF16" i="126"/>
  <c r="AA16" i="126"/>
  <c r="X16" i="126"/>
  <c r="W16" i="126"/>
  <c r="T16" i="126"/>
  <c r="S16" i="126"/>
  <c r="Q16" i="126"/>
  <c r="P16" i="126"/>
  <c r="O16" i="126"/>
  <c r="N16" i="126"/>
  <c r="M16" i="126"/>
  <c r="L16" i="126"/>
  <c r="K16" i="126"/>
  <c r="F16" i="126"/>
  <c r="AX16" i="126" s="1"/>
  <c r="BG15" i="126"/>
  <c r="BF15" i="126"/>
  <c r="BD15" i="126"/>
  <c r="BC15" i="126"/>
  <c r="BB15" i="126"/>
  <c r="BA15" i="126"/>
  <c r="AZ15" i="126"/>
  <c r="AQ15" i="126"/>
  <c r="AP15" i="126"/>
  <c r="AN15" i="126"/>
  <c r="AJ15" i="126"/>
  <c r="AF15" i="126"/>
  <c r="AE15" i="126"/>
  <c r="AB15" i="126"/>
  <c r="U15" i="126"/>
  <c r="T15" i="126"/>
  <c r="S15" i="126"/>
  <c r="R15" i="126"/>
  <c r="Q15" i="126"/>
  <c r="P15" i="126"/>
  <c r="O15" i="126"/>
  <c r="F15" i="126"/>
  <c r="BN15" i="126" s="1"/>
  <c r="E14" i="126"/>
  <c r="F14" i="126" s="1"/>
  <c r="M14" i="126" s="1"/>
  <c r="BI13" i="126"/>
  <c r="BD13" i="126"/>
  <c r="BC13" i="126"/>
  <c r="BA13" i="126"/>
  <c r="AZ13" i="126"/>
  <c r="AY13" i="126"/>
  <c r="AX13" i="126"/>
  <c r="AW13" i="126"/>
  <c r="AP13" i="126"/>
  <c r="AO13" i="126"/>
  <c r="AN13" i="126"/>
  <c r="AE13" i="126"/>
  <c r="AD13" i="126"/>
  <c r="AC13" i="126"/>
  <c r="V13" i="126"/>
  <c r="T13" i="126"/>
  <c r="S13" i="126"/>
  <c r="Q13" i="126"/>
  <c r="P13" i="126"/>
  <c r="O13" i="126"/>
  <c r="N13" i="126"/>
  <c r="F13" i="126"/>
  <c r="BL13" i="126" s="1"/>
  <c r="E13" i="126"/>
  <c r="F12" i="126"/>
  <c r="U12" i="126" s="1"/>
  <c r="BQ11" i="126"/>
  <c r="BP11" i="126"/>
  <c r="BO11" i="126"/>
  <c r="BN11" i="126"/>
  <c r="BM11" i="126"/>
  <c r="BL11" i="126"/>
  <c r="BJ11" i="126"/>
  <c r="BI11" i="126"/>
  <c r="BH11" i="126"/>
  <c r="BF11" i="126"/>
  <c r="BE11" i="126"/>
  <c r="BD11" i="126"/>
  <c r="BC11" i="126"/>
  <c r="BB11" i="126"/>
  <c r="BA11" i="126"/>
  <c r="AZ11" i="126"/>
  <c r="AY11" i="126"/>
  <c r="AX11" i="126"/>
  <c r="AW11" i="126"/>
  <c r="AV11" i="126"/>
  <c r="AT11" i="126"/>
  <c r="AS11" i="126"/>
  <c r="AR11" i="126"/>
  <c r="AQ11" i="126"/>
  <c r="AO11" i="126"/>
  <c r="AN11" i="126"/>
  <c r="AM11" i="126"/>
  <c r="AL11" i="126"/>
  <c r="AK11" i="126"/>
  <c r="AJ11" i="126"/>
  <c r="AI11" i="126"/>
  <c r="AH11" i="126"/>
  <c r="AG11" i="126"/>
  <c r="AF11" i="126"/>
  <c r="AD11" i="126"/>
  <c r="AC11" i="126"/>
  <c r="AB11" i="126"/>
  <c r="AA11" i="126"/>
  <c r="Z11" i="126"/>
  <c r="X11" i="126"/>
  <c r="W11" i="126"/>
  <c r="V11" i="126"/>
  <c r="U11" i="126"/>
  <c r="T11" i="126"/>
  <c r="S11" i="126"/>
  <c r="R11" i="126"/>
  <c r="Q11" i="126"/>
  <c r="P11" i="126"/>
  <c r="N11" i="126"/>
  <c r="M11" i="126"/>
  <c r="L11" i="126"/>
  <c r="K11" i="126"/>
  <c r="J11" i="126"/>
  <c r="F11" i="126"/>
  <c r="BK10" i="126"/>
  <c r="AE10" i="126"/>
  <c r="F10" i="126"/>
  <c r="AZ10" i="126" s="1"/>
  <c r="BC9" i="126"/>
  <c r="BB9" i="126"/>
  <c r="BA9" i="126"/>
  <c r="AZ9" i="126"/>
  <c r="AY9" i="126"/>
  <c r="AX9" i="126"/>
  <c r="AV9" i="126"/>
  <c r="AU9" i="126"/>
  <c r="AR9" i="126"/>
  <c r="AE9" i="126"/>
  <c r="AD9" i="126"/>
  <c r="AB9" i="126"/>
  <c r="Z9" i="126"/>
  <c r="Y9" i="126"/>
  <c r="X9" i="126"/>
  <c r="S9" i="126"/>
  <c r="R9" i="126"/>
  <c r="Q9" i="126"/>
  <c r="F9" i="126"/>
  <c r="BE8" i="126"/>
  <c r="AH8" i="126"/>
  <c r="F8" i="126"/>
  <c r="AY8" i="126" s="1"/>
  <c r="BA7" i="126"/>
  <c r="AZ7" i="126"/>
  <c r="AX7" i="126"/>
  <c r="AW7" i="126"/>
  <c r="AV7" i="126"/>
  <c r="AU7" i="126"/>
  <c r="AD7" i="126"/>
  <c r="AB7" i="126"/>
  <c r="AA7" i="126"/>
  <c r="Z7" i="126"/>
  <c r="Y7" i="126"/>
  <c r="X7" i="126"/>
  <c r="F7" i="126"/>
  <c r="BQ6" i="126"/>
  <c r="BP6" i="126"/>
  <c r="BN6" i="126"/>
  <c r="BJ6" i="126"/>
  <c r="BI6" i="126"/>
  <c r="BG6" i="126"/>
  <c r="BF6" i="126"/>
  <c r="BE6" i="126"/>
  <c r="BD6" i="126"/>
  <c r="BC6" i="126"/>
  <c r="BB6" i="126"/>
  <c r="BA6" i="126"/>
  <c r="AZ6" i="126"/>
  <c r="AY6" i="126"/>
  <c r="AX6" i="126"/>
  <c r="AV6" i="126"/>
  <c r="AQ6" i="126"/>
  <c r="AP6" i="126"/>
  <c r="AO6" i="126"/>
  <c r="AN6" i="126"/>
  <c r="AM6" i="126"/>
  <c r="AL6" i="126"/>
  <c r="AK6" i="126"/>
  <c r="AJ6" i="126"/>
  <c r="AI6" i="126"/>
  <c r="AH6" i="126"/>
  <c r="AG6" i="126"/>
  <c r="AF6" i="126"/>
  <c r="AD6" i="126"/>
  <c r="Y6" i="126"/>
  <c r="X6" i="126"/>
  <c r="W6" i="126"/>
  <c r="V6" i="126"/>
  <c r="U6" i="126"/>
  <c r="T6" i="126"/>
  <c r="S6" i="126"/>
  <c r="R6" i="126"/>
  <c r="Q6" i="126"/>
  <c r="P6" i="126"/>
  <c r="O6" i="126"/>
  <c r="N6" i="126"/>
  <c r="J6" i="126"/>
  <c r="F6" i="126"/>
  <c r="BQ5" i="126"/>
  <c r="BP5" i="126"/>
  <c r="BO5" i="126"/>
  <c r="BN5" i="126"/>
  <c r="BM5" i="126"/>
  <c r="BL5" i="126"/>
  <c r="BK5" i="126"/>
  <c r="BJ5" i="126"/>
  <c r="BI5" i="126"/>
  <c r="BH5" i="126"/>
  <c r="AZ5" i="126"/>
  <c r="AY5" i="126"/>
  <c r="AW5" i="126"/>
  <c r="AV5" i="126"/>
  <c r="AU5" i="126"/>
  <c r="AT5" i="126"/>
  <c r="AS5" i="126"/>
  <c r="AR5" i="126"/>
  <c r="AP5" i="126"/>
  <c r="AO5" i="126"/>
  <c r="AM5" i="126"/>
  <c r="AH5" i="126"/>
  <c r="AG5" i="126"/>
  <c r="AF5" i="126"/>
  <c r="AD5" i="126"/>
  <c r="AC5" i="126"/>
  <c r="Z5" i="126"/>
  <c r="Y5" i="126"/>
  <c r="X5" i="126"/>
  <c r="V5" i="126"/>
  <c r="U5" i="126"/>
  <c r="P5" i="126"/>
  <c r="O5" i="126"/>
  <c r="N5" i="126"/>
  <c r="M5" i="126"/>
  <c r="L5" i="126"/>
  <c r="J5" i="126"/>
  <c r="F5" i="126"/>
  <c r="AX5" i="126" s="1"/>
  <c r="BO4" i="126"/>
  <c r="BN4" i="126"/>
  <c r="BM4" i="126"/>
  <c r="BK4" i="126"/>
  <c r="BH4" i="126"/>
  <c r="BG4" i="126"/>
  <c r="BF4" i="126"/>
  <c r="BD4" i="126"/>
  <c r="BC4" i="126"/>
  <c r="BB4" i="126"/>
  <c r="BA4" i="126"/>
  <c r="AZ4" i="126"/>
  <c r="AX4" i="126"/>
  <c r="AW4" i="126"/>
  <c r="AV4" i="126"/>
  <c r="AU4" i="126"/>
  <c r="AS4" i="126"/>
  <c r="AP4" i="126"/>
  <c r="AN4" i="126"/>
  <c r="AM4" i="126"/>
  <c r="AL4" i="126"/>
  <c r="AK4" i="126"/>
  <c r="AJ4" i="126"/>
  <c r="AI4" i="126"/>
  <c r="AG4" i="126"/>
  <c r="AF4" i="126"/>
  <c r="AE4" i="126"/>
  <c r="AD4" i="126"/>
  <c r="AC4" i="126"/>
  <c r="AA4" i="126"/>
  <c r="W4" i="126"/>
  <c r="V4" i="126"/>
  <c r="U4" i="126"/>
  <c r="T4" i="126"/>
  <c r="S4" i="126"/>
  <c r="R4" i="126"/>
  <c r="P4" i="126"/>
  <c r="O4" i="126"/>
  <c r="N4" i="126"/>
  <c r="M4" i="126"/>
  <c r="L4" i="126"/>
  <c r="K4" i="126"/>
  <c r="I4" i="126"/>
  <c r="I127" i="126" s="1"/>
  <c r="I132" i="126" s="1"/>
  <c r="I133" i="126" s="1"/>
  <c r="F4" i="126"/>
  <c r="X4" i="126" s="1"/>
  <c r="A4" i="126"/>
  <c r="A5" i="126" s="1"/>
  <c r="A6" i="126" s="1"/>
  <c r="A7" i="126" s="1"/>
  <c r="A8" i="126" s="1"/>
  <c r="A9" i="126" s="1"/>
  <c r="A10" i="126" s="1"/>
  <c r="A11" i="126" s="1"/>
  <c r="A12" i="126" s="1"/>
  <c r="A13" i="126" s="1"/>
  <c r="A14" i="126" s="1"/>
  <c r="A15" i="126" s="1"/>
  <c r="A16" i="126" s="1"/>
  <c r="A17" i="126" s="1"/>
  <c r="A18" i="126" s="1"/>
  <c r="A19" i="126" s="1"/>
  <c r="A20" i="126" s="1"/>
  <c r="A21" i="126" s="1"/>
  <c r="A22" i="126" s="1"/>
  <c r="A23" i="126" s="1"/>
  <c r="A24" i="126" s="1"/>
  <c r="A25" i="126" s="1"/>
  <c r="A26" i="126" s="1"/>
  <c r="A27" i="126" s="1"/>
  <c r="A28" i="126" s="1"/>
  <c r="A29" i="126" s="1"/>
  <c r="A30" i="126" s="1"/>
  <c r="A31" i="126" s="1"/>
  <c r="A32" i="126" s="1"/>
  <c r="A33" i="126" s="1"/>
  <c r="A34" i="126" s="1"/>
  <c r="A35" i="126" s="1"/>
  <c r="A36" i="126" s="1"/>
  <c r="A37" i="126" s="1"/>
  <c r="J3" i="126"/>
  <c r="AH7" i="136" l="1"/>
  <c r="AI3" i="136"/>
  <c r="E4" i="136"/>
  <c r="AD5" i="136"/>
  <c r="AD3" i="136"/>
  <c r="AE3" i="136" s="1"/>
  <c r="C7" i="136"/>
  <c r="T2" i="136"/>
  <c r="AX99" i="126"/>
  <c r="AY99" i="126" s="1"/>
  <c r="AZ99" i="126" s="1"/>
  <c r="BA99" i="126" s="1"/>
  <c r="BB99" i="126" s="1"/>
  <c r="BC99" i="126" s="1"/>
  <c r="BD99" i="126" s="1"/>
  <c r="BE99" i="126" s="1"/>
  <c r="BF99" i="126" s="1"/>
  <c r="BG99" i="126" s="1"/>
  <c r="DN129" i="126"/>
  <c r="DO122" i="126"/>
  <c r="DN127" i="126"/>
  <c r="BP123" i="126"/>
  <c r="BQ123" i="126" s="1"/>
  <c r="BR123" i="126" s="1"/>
  <c r="BS123" i="126" s="1"/>
  <c r="U128" i="126"/>
  <c r="BC112" i="126"/>
  <c r="BD112" i="126" s="1"/>
  <c r="BE112" i="126" s="1"/>
  <c r="BF112" i="126" s="1"/>
  <c r="BG112" i="126" s="1"/>
  <c r="BH112" i="126" s="1"/>
  <c r="BI112" i="126" s="1"/>
  <c r="BJ112" i="126" s="1"/>
  <c r="BK112" i="126" s="1"/>
  <c r="BL112" i="126" s="1"/>
  <c r="L12" i="126"/>
  <c r="L128" i="126" s="1"/>
  <c r="AN8" i="126"/>
  <c r="AN127" i="126" s="1"/>
  <c r="BK8" i="126"/>
  <c r="L10" i="126"/>
  <c r="AQ10" i="126"/>
  <c r="BP10" i="126"/>
  <c r="N14" i="126"/>
  <c r="T33" i="126"/>
  <c r="BH33" i="126"/>
  <c r="Z38" i="126"/>
  <c r="BS38" i="126"/>
  <c r="BI7" i="126"/>
  <c r="AS7" i="126"/>
  <c r="AS129" i="126" s="1"/>
  <c r="AC7" i="126"/>
  <c r="AC129" i="126" s="1"/>
  <c r="M7" i="126"/>
  <c r="BP7" i="126"/>
  <c r="AY7" i="126"/>
  <c r="AH7" i="126"/>
  <c r="Q7" i="126"/>
  <c r="BF7" i="126"/>
  <c r="AN7" i="126"/>
  <c r="V7" i="126"/>
  <c r="V129" i="126" s="1"/>
  <c r="BE7" i="126"/>
  <c r="AM7" i="126"/>
  <c r="AM127" i="126" s="1"/>
  <c r="U7" i="126"/>
  <c r="U129" i="126" s="1"/>
  <c r="BD7" i="126"/>
  <c r="AL7" i="126"/>
  <c r="AL127" i="126" s="1"/>
  <c r="T7" i="126"/>
  <c r="T129" i="126" s="1"/>
  <c r="AK7" i="126"/>
  <c r="AK127" i="126" s="1"/>
  <c r="BC7" i="126"/>
  <c r="BC127" i="126" s="1"/>
  <c r="S7" i="126"/>
  <c r="AE7" i="126"/>
  <c r="BB7" i="126"/>
  <c r="R8" i="126"/>
  <c r="BL8" i="126"/>
  <c r="M10" i="126"/>
  <c r="AR10" i="126"/>
  <c r="BQ10" i="126"/>
  <c r="O12" i="126"/>
  <c r="O128" i="126" s="1"/>
  <c r="P14" i="126"/>
  <c r="U33" i="126"/>
  <c r="BJ33" i="126"/>
  <c r="V35" i="126"/>
  <c r="BF35" i="126"/>
  <c r="AK38" i="126"/>
  <c r="BT38" i="126"/>
  <c r="AT66" i="126"/>
  <c r="AP66" i="126"/>
  <c r="AQ66" i="126"/>
  <c r="AL66" i="126"/>
  <c r="AN66" i="126"/>
  <c r="AM66" i="126"/>
  <c r="AR84" i="126"/>
  <c r="AV93" i="126"/>
  <c r="AW93" i="126" s="1"/>
  <c r="AX93" i="126" s="1"/>
  <c r="AY93" i="126" s="1"/>
  <c r="AZ93" i="126" s="1"/>
  <c r="BA93" i="126" s="1"/>
  <c r="BB93" i="126" s="1"/>
  <c r="BC93" i="126" s="1"/>
  <c r="BD93" i="126" s="1"/>
  <c r="BE93" i="126" s="1"/>
  <c r="BQ8" i="126"/>
  <c r="J7" i="126"/>
  <c r="BH7" i="126"/>
  <c r="T8" i="126"/>
  <c r="AQ8" i="126"/>
  <c r="V10" i="126"/>
  <c r="R12" i="126"/>
  <c r="L20" i="126"/>
  <c r="Y33" i="126"/>
  <c r="BL33" i="126"/>
  <c r="BH35" i="126"/>
  <c r="AO38" i="126"/>
  <c r="AC41" i="126"/>
  <c r="BA55" i="126"/>
  <c r="AO76" i="126"/>
  <c r="K7" i="126"/>
  <c r="AI7" i="126"/>
  <c r="BJ7" i="126"/>
  <c r="U8" i="126"/>
  <c r="AR8" i="126"/>
  <c r="BI9" i="126"/>
  <c r="AS9" i="126"/>
  <c r="AC9" i="126"/>
  <c r="BN9" i="126"/>
  <c r="AW9" i="126"/>
  <c r="AF9" i="126"/>
  <c r="O9" i="126"/>
  <c r="BL9" i="126"/>
  <c r="AT9" i="126"/>
  <c r="AA9" i="126"/>
  <c r="J9" i="126"/>
  <c r="BJ9" i="126"/>
  <c r="AP9" i="126"/>
  <c r="W9" i="126"/>
  <c r="BH9" i="126"/>
  <c r="AO9" i="126"/>
  <c r="V9" i="126"/>
  <c r="BG9" i="126"/>
  <c r="AN9" i="126"/>
  <c r="U9" i="126"/>
  <c r="BF9" i="126"/>
  <c r="T9" i="126"/>
  <c r="AM9" i="126"/>
  <c r="AG9" i="126"/>
  <c r="BD9" i="126"/>
  <c r="BD127" i="126" s="1"/>
  <c r="W10" i="126"/>
  <c r="W129" i="126" s="1"/>
  <c r="AV10" i="126"/>
  <c r="AV127" i="126" s="1"/>
  <c r="S12" i="126"/>
  <c r="S128" i="126" s="1"/>
  <c r="S14" i="126"/>
  <c r="BI18" i="126"/>
  <c r="AS18" i="126"/>
  <c r="AC18" i="126"/>
  <c r="M18" i="126"/>
  <c r="BP18" i="126"/>
  <c r="AY18" i="126"/>
  <c r="AH18" i="126"/>
  <c r="Q18" i="126"/>
  <c r="BL18" i="126"/>
  <c r="AU18" i="126"/>
  <c r="AD18" i="126"/>
  <c r="L18" i="126"/>
  <c r="BD18" i="126"/>
  <c r="AK18" i="126"/>
  <c r="R18" i="126"/>
  <c r="R129" i="126" s="1"/>
  <c r="BC18" i="126"/>
  <c r="AJ18" i="126"/>
  <c r="P18" i="126"/>
  <c r="BA18" i="126"/>
  <c r="AG18" i="126"/>
  <c r="N18" i="126"/>
  <c r="BO18" i="126"/>
  <c r="AQ18" i="126"/>
  <c r="U18" i="126"/>
  <c r="BN18" i="126"/>
  <c r="AP18" i="126"/>
  <c r="T18" i="126"/>
  <c r="BM18" i="126"/>
  <c r="AO18" i="126"/>
  <c r="S18" i="126"/>
  <c r="BK18" i="126"/>
  <c r="AN18" i="126"/>
  <c r="O18" i="126"/>
  <c r="AT18" i="126"/>
  <c r="M20" i="126"/>
  <c r="AN20" i="126"/>
  <c r="BP22" i="126"/>
  <c r="AZ22" i="126"/>
  <c r="AJ22" i="126"/>
  <c r="T22" i="126"/>
  <c r="BF22" i="126"/>
  <c r="AO22" i="126"/>
  <c r="X22" i="126"/>
  <c r="BS22" i="126"/>
  <c r="BB22" i="126"/>
  <c r="AK22" i="126"/>
  <c r="S22" i="126"/>
  <c r="BI22" i="126"/>
  <c r="AP22" i="126"/>
  <c r="V22" i="126"/>
  <c r="BH22" i="126"/>
  <c r="AN22" i="126"/>
  <c r="U22" i="126"/>
  <c r="BE22" i="126"/>
  <c r="AL22" i="126"/>
  <c r="Q22" i="126"/>
  <c r="BR22" i="126"/>
  <c r="BR129" i="126" s="1"/>
  <c r="AU22" i="126"/>
  <c r="Y22" i="126"/>
  <c r="BQ22" i="126"/>
  <c r="AT22" i="126"/>
  <c r="W22" i="126"/>
  <c r="BO22" i="126"/>
  <c r="AS22" i="126"/>
  <c r="R22" i="126"/>
  <c r="BN22" i="126"/>
  <c r="AR22" i="126"/>
  <c r="P22" i="126"/>
  <c r="AV22" i="126"/>
  <c r="AI33" i="126"/>
  <c r="BN33" i="126"/>
  <c r="AD35" i="126"/>
  <c r="BJ35" i="126"/>
  <c r="AP38" i="126"/>
  <c r="CE38" i="126"/>
  <c r="BI55" i="126"/>
  <c r="AL57" i="126"/>
  <c r="AS66" i="126"/>
  <c r="AS128" i="126" s="1"/>
  <c r="AQ76" i="126"/>
  <c r="BK84" i="126"/>
  <c r="BA106" i="126"/>
  <c r="BB106" i="126" s="1"/>
  <c r="BC106" i="126" s="1"/>
  <c r="BD106" i="126" s="1"/>
  <c r="BE106" i="126" s="1"/>
  <c r="BF106" i="126" s="1"/>
  <c r="BG106" i="126" s="1"/>
  <c r="BH106" i="126" s="1"/>
  <c r="BI106" i="126" s="1"/>
  <c r="L7" i="126"/>
  <c r="L127" i="126" s="1"/>
  <c r="AJ7" i="126"/>
  <c r="BK7" i="126"/>
  <c r="W8" i="126"/>
  <c r="AS8" i="126"/>
  <c r="AH9" i="126"/>
  <c r="BE9" i="126"/>
  <c r="X10" i="126"/>
  <c r="AW10" i="126"/>
  <c r="AF13" i="126"/>
  <c r="BF13" i="126"/>
  <c r="T14" i="126"/>
  <c r="AG15" i="126"/>
  <c r="BH15" i="126"/>
  <c r="AV18" i="126"/>
  <c r="N20" i="126"/>
  <c r="AP20" i="126"/>
  <c r="AW22" i="126"/>
  <c r="AJ33" i="126"/>
  <c r="BO33" i="126"/>
  <c r="AF35" i="126"/>
  <c r="BK35" i="126"/>
  <c r="AS38" i="126"/>
  <c r="CF38" i="126"/>
  <c r="BJ55" i="126"/>
  <c r="AM57" i="126"/>
  <c r="AU66" i="126"/>
  <c r="AR76" i="126"/>
  <c r="BX80" i="126"/>
  <c r="BH80" i="126"/>
  <c r="CJ80" i="126"/>
  <c r="BT80" i="126"/>
  <c r="CE80" i="126"/>
  <c r="BM80" i="126"/>
  <c r="CA80" i="126"/>
  <c r="BI80" i="126"/>
  <c r="CI80" i="126"/>
  <c r="BO80" i="126"/>
  <c r="CH80" i="126"/>
  <c r="BN80" i="126"/>
  <c r="CD80" i="126"/>
  <c r="BJ80" i="126"/>
  <c r="BR80" i="126"/>
  <c r="BQ80" i="126"/>
  <c r="BP80" i="126"/>
  <c r="BK80" i="126"/>
  <c r="BV80" i="126"/>
  <c r="BU80" i="126"/>
  <c r="BL80" i="126"/>
  <c r="CC80" i="126"/>
  <c r="CB80" i="126"/>
  <c r="BZ80" i="126"/>
  <c r="BY80" i="126"/>
  <c r="BL84" i="126"/>
  <c r="AB5" i="126"/>
  <c r="N7" i="126"/>
  <c r="N127" i="126" s="1"/>
  <c r="AO7" i="126"/>
  <c r="BL7" i="126"/>
  <c r="X8" i="126"/>
  <c r="X129" i="126" s="1"/>
  <c r="K9" i="126"/>
  <c r="AI9" i="126"/>
  <c r="BK9" i="126"/>
  <c r="Y10" i="126"/>
  <c r="AX10" i="126"/>
  <c r="E127" i="126"/>
  <c r="AG13" i="126"/>
  <c r="BG13" i="126"/>
  <c r="Y14" i="126"/>
  <c r="AI15" i="126"/>
  <c r="BI15" i="126"/>
  <c r="K18" i="126"/>
  <c r="AW18" i="126"/>
  <c r="O20" i="126"/>
  <c r="AQ20" i="126"/>
  <c r="N22" i="126"/>
  <c r="AX22" i="126"/>
  <c r="AK33" i="126"/>
  <c r="BP33" i="126"/>
  <c r="AG35" i="126"/>
  <c r="BW35" i="126"/>
  <c r="AT38" i="126"/>
  <c r="AG39" i="126"/>
  <c r="AC39" i="126"/>
  <c r="AE39" i="126"/>
  <c r="Z39" i="126"/>
  <c r="AK39" i="126"/>
  <c r="AJ39" i="126"/>
  <c r="AH39" i="126"/>
  <c r="AF39" i="126"/>
  <c r="AD39" i="126"/>
  <c r="AB39" i="126"/>
  <c r="AB128" i="126" s="1"/>
  <c r="BK55" i="126"/>
  <c r="AN57" i="126"/>
  <c r="AV66" i="126"/>
  <c r="AV76" i="126"/>
  <c r="BS80" i="126"/>
  <c r="BN84" i="126"/>
  <c r="P12" i="126"/>
  <c r="P128" i="126" s="1"/>
  <c r="M12" i="126"/>
  <c r="M128" i="126" s="1"/>
  <c r="W12" i="126"/>
  <c r="T12" i="126"/>
  <c r="T128" i="126" s="1"/>
  <c r="Y12" i="126"/>
  <c r="Y128" i="126" s="1"/>
  <c r="X12" i="126"/>
  <c r="X128" i="126" s="1"/>
  <c r="V12" i="126"/>
  <c r="V128" i="126" s="1"/>
  <c r="K3" i="126"/>
  <c r="BJ8" i="126"/>
  <c r="AT8" i="126"/>
  <c r="AD8" i="126"/>
  <c r="AD127" i="126" s="1"/>
  <c r="N8" i="126"/>
  <c r="BD8" i="126"/>
  <c r="AM8" i="126"/>
  <c r="V8" i="126"/>
  <c r="V127" i="126" s="1"/>
  <c r="BP8" i="126"/>
  <c r="AX8" i="126"/>
  <c r="AX129" i="126" s="1"/>
  <c r="AF8" i="126"/>
  <c r="M8" i="126"/>
  <c r="BO8" i="126"/>
  <c r="AW8" i="126"/>
  <c r="AE8" i="126"/>
  <c r="L8" i="126"/>
  <c r="BN8" i="126"/>
  <c r="AV8" i="126"/>
  <c r="AC8" i="126"/>
  <c r="K8" i="126"/>
  <c r="AU8" i="126"/>
  <c r="J8" i="126"/>
  <c r="BM8" i="126"/>
  <c r="AB8" i="126"/>
  <c r="BF8" i="126"/>
  <c r="AF10" i="126"/>
  <c r="AW33" i="126"/>
  <c r="AP10" i="126"/>
  <c r="AQ65" i="126"/>
  <c r="AM65" i="126"/>
  <c r="AK65" i="126"/>
  <c r="AV65" i="126"/>
  <c r="AT65" i="126"/>
  <c r="AS65" i="126"/>
  <c r="AP65" i="126"/>
  <c r="AO65" i="126"/>
  <c r="AU65" i="126"/>
  <c r="AR65" i="126"/>
  <c r="AN65" i="126"/>
  <c r="AL65" i="126"/>
  <c r="AS73" i="126"/>
  <c r="AV73" i="126"/>
  <c r="AQ73" i="126"/>
  <c r="AR73" i="126"/>
  <c r="AP73" i="126"/>
  <c r="AM73" i="126"/>
  <c r="H73" i="126" s="1"/>
  <c r="AN73" i="126"/>
  <c r="AX73" i="126"/>
  <c r="AW73" i="126"/>
  <c r="AU73" i="126"/>
  <c r="AT73" i="126"/>
  <c r="BE35" i="126"/>
  <c r="BO118" i="126"/>
  <c r="BN128" i="126"/>
  <c r="AO8" i="126"/>
  <c r="BG7" i="126"/>
  <c r="U10" i="126"/>
  <c r="Q12" i="126"/>
  <c r="Q128" i="126" s="1"/>
  <c r="L9" i="126"/>
  <c r="AX18" i="126"/>
  <c r="Q20" i="126"/>
  <c r="AY22" i="126"/>
  <c r="AM33" i="126"/>
  <c r="BX35" i="126"/>
  <c r="AW66" i="126"/>
  <c r="P7" i="126"/>
  <c r="P129" i="126" s="1"/>
  <c r="AQ7" i="126"/>
  <c r="BN7" i="126"/>
  <c r="BN129" i="126" s="1"/>
  <c r="Z8" i="126"/>
  <c r="BA8" i="126"/>
  <c r="M9" i="126"/>
  <c r="AK9" i="126"/>
  <c r="BO9" i="126"/>
  <c r="AA10" i="126"/>
  <c r="AI13" i="126"/>
  <c r="BK13" i="126"/>
  <c r="J15" i="126"/>
  <c r="AK15" i="126"/>
  <c r="BK15" i="126"/>
  <c r="W18" i="126"/>
  <c r="AZ18" i="126"/>
  <c r="R20" i="126"/>
  <c r="BB20" i="126"/>
  <c r="Z22" i="126"/>
  <c r="BA22" i="126"/>
  <c r="AN33" i="126"/>
  <c r="AJ35" i="126"/>
  <c r="AW38" i="126"/>
  <c r="CR67" i="126"/>
  <c r="CR127" i="126" s="1"/>
  <c r="CB67" i="126"/>
  <c r="BL67" i="126"/>
  <c r="AV67" i="126"/>
  <c r="CN67" i="126"/>
  <c r="BX67" i="126"/>
  <c r="BH67" i="126"/>
  <c r="AR67" i="126"/>
  <c r="CF67" i="126"/>
  <c r="BN67" i="126"/>
  <c r="AU67" i="126"/>
  <c r="CA67" i="126"/>
  <c r="BI67" i="126"/>
  <c r="AP67" i="126"/>
  <c r="CK67" i="126"/>
  <c r="BQ67" i="126"/>
  <c r="AW67" i="126"/>
  <c r="CJ67" i="126"/>
  <c r="BP67" i="126"/>
  <c r="AT67" i="126"/>
  <c r="CI67" i="126"/>
  <c r="BO67" i="126"/>
  <c r="AS67" i="126"/>
  <c r="CG67" i="126"/>
  <c r="BK67" i="126"/>
  <c r="AO67" i="126"/>
  <c r="BW67" i="126"/>
  <c r="AY67" i="126"/>
  <c r="BV67" i="126"/>
  <c r="AX67" i="126"/>
  <c r="BT67" i="126"/>
  <c r="AN67" i="126"/>
  <c r="CS67" i="126"/>
  <c r="BS67" i="126"/>
  <c r="AM67" i="126"/>
  <c r="H67" i="126" s="1"/>
  <c r="CO67" i="126"/>
  <c r="BD67" i="126"/>
  <c r="CM67" i="126"/>
  <c r="BC67" i="126"/>
  <c r="CL67" i="126"/>
  <c r="CL129" i="126" s="1"/>
  <c r="BB67" i="126"/>
  <c r="CH67" i="126"/>
  <c r="BA67" i="126"/>
  <c r="CE67" i="126"/>
  <c r="BH76" i="126"/>
  <c r="AZ128" i="126"/>
  <c r="CF80" i="126"/>
  <c r="BX84" i="126"/>
  <c r="BE107" i="126"/>
  <c r="BF107" i="126" s="1"/>
  <c r="H107" i="126"/>
  <c r="H114" i="126"/>
  <c r="AO51" i="126"/>
  <c r="AN51" i="126"/>
  <c r="AJ51" i="126"/>
  <c r="AM51" i="126"/>
  <c r="AI51" i="126"/>
  <c r="AL51" i="126"/>
  <c r="AK51" i="126"/>
  <c r="AO58" i="126"/>
  <c r="AK58" i="126"/>
  <c r="AP58" i="126"/>
  <c r="AR58" i="126"/>
  <c r="AN58" i="126"/>
  <c r="AQ58" i="126"/>
  <c r="AM58" i="126"/>
  <c r="AJ58" i="126"/>
  <c r="AI58" i="126"/>
  <c r="AI8" i="126"/>
  <c r="BJ10" i="126"/>
  <c r="AT10" i="126"/>
  <c r="AD10" i="126"/>
  <c r="AD129" i="126" s="1"/>
  <c r="N10" i="126"/>
  <c r="N129" i="126" s="1"/>
  <c r="BB10" i="126"/>
  <c r="AK10" i="126"/>
  <c r="T10" i="126"/>
  <c r="BG10" i="126"/>
  <c r="AO10" i="126"/>
  <c r="BD10" i="126"/>
  <c r="AL10" i="126"/>
  <c r="S10" i="126"/>
  <c r="BH10" i="126"/>
  <c r="AM10" i="126"/>
  <c r="R10" i="126"/>
  <c r="BF10" i="126"/>
  <c r="AJ10" i="126"/>
  <c r="Q10" i="126"/>
  <c r="BE10" i="126"/>
  <c r="AI10" i="126"/>
  <c r="P10" i="126"/>
  <c r="AH10" i="126"/>
  <c r="BC10" i="126"/>
  <c r="O10" i="126"/>
  <c r="BL10" i="126"/>
  <c r="L14" i="126"/>
  <c r="O14" i="126"/>
  <c r="K14" i="126"/>
  <c r="X14" i="126"/>
  <c r="W14" i="126"/>
  <c r="V14" i="126"/>
  <c r="U14" i="126"/>
  <c r="BV33" i="126"/>
  <c r="BF33" i="126"/>
  <c r="AP33" i="126"/>
  <c r="Z33" i="126"/>
  <c r="BR33" i="126"/>
  <c r="BB33" i="126"/>
  <c r="AL33" i="126"/>
  <c r="V33" i="126"/>
  <c r="BM33" i="126"/>
  <c r="AU33" i="126"/>
  <c r="AC33" i="126"/>
  <c r="BI33" i="126"/>
  <c r="AQ33" i="126"/>
  <c r="X33" i="126"/>
  <c r="BW33" i="126"/>
  <c r="BA33" i="126"/>
  <c r="AG33" i="126"/>
  <c r="BU33" i="126"/>
  <c r="AZ33" i="126"/>
  <c r="AF33" i="126"/>
  <c r="BS33" i="126"/>
  <c r="AX33" i="126"/>
  <c r="AD33" i="126"/>
  <c r="BG33" i="126"/>
  <c r="AH33" i="126"/>
  <c r="BE33" i="126"/>
  <c r="AE33" i="126"/>
  <c r="BD33" i="126"/>
  <c r="AB33" i="126"/>
  <c r="BC33" i="126"/>
  <c r="AA33" i="126"/>
  <c r="AT33" i="126"/>
  <c r="AD51" i="126"/>
  <c r="CF55" i="126"/>
  <c r="BP55" i="126"/>
  <c r="AZ55" i="126"/>
  <c r="AJ55" i="126"/>
  <c r="CB55" i="126"/>
  <c r="BL55" i="126"/>
  <c r="AV55" i="126"/>
  <c r="AF55" i="126"/>
  <c r="BU55" i="126"/>
  <c r="BC55" i="126"/>
  <c r="AK55" i="126"/>
  <c r="CI55" i="126"/>
  <c r="BQ55" i="126"/>
  <c r="AX55" i="126"/>
  <c r="AE55" i="126"/>
  <c r="CC55" i="126"/>
  <c r="BH55" i="126"/>
  <c r="AN55" i="126"/>
  <c r="CA55" i="126"/>
  <c r="BG55" i="126"/>
  <c r="AM55" i="126"/>
  <c r="BZ55" i="126"/>
  <c r="BF55" i="126"/>
  <c r="AL55" i="126"/>
  <c r="BX55" i="126"/>
  <c r="BD55" i="126"/>
  <c r="AH55" i="126"/>
  <c r="CH55" i="126"/>
  <c r="BE55" i="126"/>
  <c r="CG55" i="126"/>
  <c r="BB55" i="126"/>
  <c r="CD55" i="126"/>
  <c r="AY55" i="126"/>
  <c r="BY55" i="126"/>
  <c r="AW55" i="126"/>
  <c r="CK55" i="126"/>
  <c r="AT55" i="126"/>
  <c r="CJ55" i="126"/>
  <c r="AS55" i="126"/>
  <c r="CE55" i="126"/>
  <c r="AR55" i="126"/>
  <c r="BW55" i="126"/>
  <c r="AQ55" i="126"/>
  <c r="BT55" i="126"/>
  <c r="H79" i="126"/>
  <c r="H115" i="126"/>
  <c r="BA129" i="126"/>
  <c r="AJ8" i="126"/>
  <c r="BG8" i="126"/>
  <c r="AG10" i="126"/>
  <c r="BM10" i="126"/>
  <c r="AV33" i="126"/>
  <c r="BH113" i="126"/>
  <c r="BI113" i="126" s="1"/>
  <c r="BJ113" i="126" s="1"/>
  <c r="BK113" i="126" s="1"/>
  <c r="BL113" i="126" s="1"/>
  <c r="BM113" i="126" s="1"/>
  <c r="BN113" i="126" s="1"/>
  <c r="BO113" i="126" s="1"/>
  <c r="BP113" i="126" s="1"/>
  <c r="BQ113" i="126" s="1"/>
  <c r="BR113" i="126" s="1"/>
  <c r="BS113" i="126" s="1"/>
  <c r="BT113" i="126" s="1"/>
  <c r="BU113" i="126" s="1"/>
  <c r="BV113" i="126" s="1"/>
  <c r="BW113" i="126" s="1"/>
  <c r="BX113" i="126" s="1"/>
  <c r="BY113" i="126" s="1"/>
  <c r="BZ113" i="126" s="1"/>
  <c r="CA113" i="126" s="1"/>
  <c r="CB113" i="126" s="1"/>
  <c r="CC113" i="126" s="1"/>
  <c r="CD113" i="126" s="1"/>
  <c r="CE113" i="126" s="1"/>
  <c r="CF113" i="126" s="1"/>
  <c r="CG113" i="126" s="1"/>
  <c r="CH113" i="126" s="1"/>
  <c r="CI113" i="126" s="1"/>
  <c r="CJ113" i="126" s="1"/>
  <c r="CK113" i="126" s="1"/>
  <c r="CL113" i="126" s="1"/>
  <c r="CM113" i="126" s="1"/>
  <c r="CN113" i="126" s="1"/>
  <c r="CO113" i="126" s="1"/>
  <c r="CP113" i="126" s="1"/>
  <c r="CQ113" i="126" s="1"/>
  <c r="CR113" i="126" s="1"/>
  <c r="CS113" i="126" s="1"/>
  <c r="CT113" i="126" s="1"/>
  <c r="CU113" i="126" s="1"/>
  <c r="CV113" i="126" s="1"/>
  <c r="CW113" i="126" s="1"/>
  <c r="CX113" i="126" s="1"/>
  <c r="CY113" i="126" s="1"/>
  <c r="CZ113" i="126" s="1"/>
  <c r="DA113" i="126" s="1"/>
  <c r="DB113" i="126" s="1"/>
  <c r="DC113" i="126" s="1"/>
  <c r="DD113" i="126" s="1"/>
  <c r="DE113" i="126" s="1"/>
  <c r="DF113" i="126" s="1"/>
  <c r="DG113" i="126" s="1"/>
  <c r="DH113" i="126" s="1"/>
  <c r="DI113" i="126" s="1"/>
  <c r="H113" i="126"/>
  <c r="BD115" i="126"/>
  <c r="BE115" i="126" s="1"/>
  <c r="BF115" i="126" s="1"/>
  <c r="BG115" i="126" s="1"/>
  <c r="BH115" i="126" s="1"/>
  <c r="BI115" i="126" s="1"/>
  <c r="BJ115" i="126" s="1"/>
  <c r="BK115" i="126" s="1"/>
  <c r="BL115" i="126" s="1"/>
  <c r="BR35" i="126"/>
  <c r="BB35" i="126"/>
  <c r="AL35" i="126"/>
  <c r="BM35" i="126"/>
  <c r="AV35" i="126"/>
  <c r="AE35" i="126"/>
  <c r="BZ35" i="126"/>
  <c r="BI35" i="126"/>
  <c r="AR35" i="126"/>
  <c r="AA35" i="126"/>
  <c r="BU35" i="126"/>
  <c r="BA35" i="126"/>
  <c r="AH35" i="126"/>
  <c r="BP35" i="126"/>
  <c r="AW35" i="126"/>
  <c r="AC35" i="126"/>
  <c r="BV35" i="126"/>
  <c r="AY35" i="126"/>
  <c r="AB35" i="126"/>
  <c r="BT35" i="126"/>
  <c r="AX35" i="126"/>
  <c r="Z35" i="126"/>
  <c r="BQ35" i="126"/>
  <c r="AT35" i="126"/>
  <c r="X35" i="126"/>
  <c r="BS35" i="126"/>
  <c r="AP35" i="126"/>
  <c r="BO35" i="126"/>
  <c r="AO35" i="126"/>
  <c r="BN35" i="126"/>
  <c r="AN35" i="126"/>
  <c r="BL35" i="126"/>
  <c r="AM35" i="126"/>
  <c r="BI8" i="126"/>
  <c r="S33" i="126"/>
  <c r="H122" i="126"/>
  <c r="N12" i="126"/>
  <c r="N128" i="126" s="1"/>
  <c r="AM41" i="126"/>
  <c r="AI41" i="126"/>
  <c r="AK41" i="126"/>
  <c r="AL41" i="126"/>
  <c r="AG41" i="126"/>
  <c r="AH41" i="126"/>
  <c r="AF41" i="126"/>
  <c r="AJ41" i="126"/>
  <c r="AE41" i="126"/>
  <c r="AO55" i="126"/>
  <c r="AP55" i="126"/>
  <c r="S8" i="126"/>
  <c r="BY38" i="126"/>
  <c r="BE57" i="126"/>
  <c r="AO57" i="126"/>
  <c r="BA57" i="126"/>
  <c r="AK57" i="126"/>
  <c r="BH57" i="126"/>
  <c r="AP57" i="126"/>
  <c r="BC57" i="126"/>
  <c r="AJ57" i="126"/>
  <c r="BF57" i="126"/>
  <c r="AI57" i="126"/>
  <c r="BD57" i="126"/>
  <c r="AH57" i="126"/>
  <c r="BB57" i="126"/>
  <c r="AG57" i="126"/>
  <c r="H57" i="126" s="1"/>
  <c r="AY57" i="126"/>
  <c r="AU57" i="126"/>
  <c r="AT57" i="126"/>
  <c r="AR57" i="126"/>
  <c r="AQ57" i="126"/>
  <c r="BI57" i="126"/>
  <c r="BG57" i="126"/>
  <c r="AZ57" i="126"/>
  <c r="AX57" i="126"/>
  <c r="AU10" i="126"/>
  <c r="Y35" i="126"/>
  <c r="AR66" i="126"/>
  <c r="AV84" i="126"/>
  <c r="O7" i="126"/>
  <c r="O129" i="126" s="1"/>
  <c r="Z10" i="126"/>
  <c r="O22" i="126"/>
  <c r="BQ33" i="126"/>
  <c r="AI35" i="126"/>
  <c r="AV38" i="126"/>
  <c r="BM55" i="126"/>
  <c r="AS57" i="126"/>
  <c r="BD76" i="126"/>
  <c r="BR84" i="126"/>
  <c r="BG5" i="126"/>
  <c r="BG129" i="126" s="1"/>
  <c r="AQ5" i="126"/>
  <c r="AA5" i="126"/>
  <c r="AA129" i="126" s="1"/>
  <c r="K5" i="126"/>
  <c r="H5" i="126" s="1"/>
  <c r="BE5" i="126"/>
  <c r="AN5" i="126"/>
  <c r="W5" i="126"/>
  <c r="BD5" i="126"/>
  <c r="AL5" i="126"/>
  <c r="T5" i="126"/>
  <c r="T127" i="126" s="1"/>
  <c r="BC5" i="126"/>
  <c r="BC129" i="126" s="1"/>
  <c r="AK5" i="126"/>
  <c r="AK129" i="126" s="1"/>
  <c r="S5" i="126"/>
  <c r="S127" i="126" s="1"/>
  <c r="BB5" i="126"/>
  <c r="AJ5" i="126"/>
  <c r="AJ129" i="126" s="1"/>
  <c r="R5" i="126"/>
  <c r="BA5" i="126"/>
  <c r="BA127" i="126" s="1"/>
  <c r="AI5" i="126"/>
  <c r="AI129" i="126" s="1"/>
  <c r="Q5" i="126"/>
  <c r="AE5" i="126"/>
  <c r="AE129" i="126" s="1"/>
  <c r="BF5" i="126"/>
  <c r="R7" i="126"/>
  <c r="AR7" i="126"/>
  <c r="BO7" i="126"/>
  <c r="AA8" i="126"/>
  <c r="BB8" i="126"/>
  <c r="N9" i="126"/>
  <c r="AL9" i="126"/>
  <c r="BP9" i="126"/>
  <c r="AB10" i="126"/>
  <c r="BA10" i="126"/>
  <c r="K13" i="126"/>
  <c r="AK13" i="126"/>
  <c r="L15" i="126"/>
  <c r="AL15" i="126"/>
  <c r="X18" i="126"/>
  <c r="BB18" i="126"/>
  <c r="S20" i="126"/>
  <c r="AA22" i="126"/>
  <c r="BC22" i="126"/>
  <c r="AO33" i="126"/>
  <c r="BX33" i="126"/>
  <c r="AK35" i="126"/>
  <c r="CA35" i="126"/>
  <c r="CA129" i="126" s="1"/>
  <c r="AF44" i="126"/>
  <c r="AO44" i="126"/>
  <c r="AJ44" i="126"/>
  <c r="AI44" i="126"/>
  <c r="AE44" i="126"/>
  <c r="AP44" i="126"/>
  <c r="CD46" i="126"/>
  <c r="CD127" i="126" s="1"/>
  <c r="BN46" i="126"/>
  <c r="AX46" i="126"/>
  <c r="AH46" i="126"/>
  <c r="BZ46" i="126"/>
  <c r="BZ129" i="126" s="1"/>
  <c r="BJ46" i="126"/>
  <c r="AT46" i="126"/>
  <c r="AD46" i="126"/>
  <c r="BS46" i="126"/>
  <c r="BA46" i="126"/>
  <c r="AI46" i="126"/>
  <c r="CG46" i="126"/>
  <c r="BO46" i="126"/>
  <c r="AV46" i="126"/>
  <c r="AC46" i="126"/>
  <c r="BQ46" i="126"/>
  <c r="AU46" i="126"/>
  <c r="CJ46" i="126"/>
  <c r="BP46" i="126"/>
  <c r="AS46" i="126"/>
  <c r="CF46" i="126"/>
  <c r="BK46" i="126"/>
  <c r="AP46" i="126"/>
  <c r="BT46" i="126"/>
  <c r="AQ46" i="126"/>
  <c r="BR46" i="126"/>
  <c r="AO46" i="126"/>
  <c r="BL46" i="126"/>
  <c r="AM46" i="126"/>
  <c r="BI46" i="126"/>
  <c r="AL46" i="126"/>
  <c r="CH46" i="126"/>
  <c r="BC46" i="126"/>
  <c r="CE46" i="126"/>
  <c r="BB46" i="126"/>
  <c r="CC46" i="126"/>
  <c r="AZ46" i="126"/>
  <c r="CB46" i="126"/>
  <c r="AY46" i="126"/>
  <c r="BU46" i="126"/>
  <c r="AO49" i="126"/>
  <c r="AK49" i="126"/>
  <c r="AM49" i="126"/>
  <c r="AG49" i="126"/>
  <c r="AF49" i="126"/>
  <c r="AL49" i="126"/>
  <c r="AJ49" i="126"/>
  <c r="AI49" i="126"/>
  <c r="AH49" i="126"/>
  <c r="AE49" i="126"/>
  <c r="AD49" i="126"/>
  <c r="BO55" i="126"/>
  <c r="AW57" i="126"/>
  <c r="CP67" i="126"/>
  <c r="CO71" i="126"/>
  <c r="BY71" i="126"/>
  <c r="BI71" i="126"/>
  <c r="AS71" i="126"/>
  <c r="CQ71" i="126"/>
  <c r="BZ71" i="126"/>
  <c r="BH71" i="126"/>
  <c r="AQ71" i="126"/>
  <c r="CL71" i="126"/>
  <c r="BU71" i="126"/>
  <c r="BD71" i="126"/>
  <c r="AM71" i="126"/>
  <c r="CJ71" i="126"/>
  <c r="BQ71" i="126"/>
  <c r="AX71" i="126"/>
  <c r="CI71" i="126"/>
  <c r="BP71" i="126"/>
  <c r="CF71" i="126"/>
  <c r="BM71" i="126"/>
  <c r="AT71" i="126"/>
  <c r="CS71" i="126"/>
  <c r="BT71" i="126"/>
  <c r="AW71" i="126"/>
  <c r="CR71" i="126"/>
  <c r="CR129" i="126" s="1"/>
  <c r="BS71" i="126"/>
  <c r="AV71" i="126"/>
  <c r="CP71" i="126"/>
  <c r="BR71" i="126"/>
  <c r="AU71" i="126"/>
  <c r="CM71" i="126"/>
  <c r="BN71" i="126"/>
  <c r="AP71" i="126"/>
  <c r="BW71" i="126"/>
  <c r="AN71" i="126"/>
  <c r="BV71" i="126"/>
  <c r="BL71" i="126"/>
  <c r="BK71" i="126"/>
  <c r="CB71" i="126"/>
  <c r="CA71" i="126"/>
  <c r="BX71" i="126"/>
  <c r="BO71" i="126"/>
  <c r="CH71" i="126"/>
  <c r="CG80" i="126"/>
  <c r="J12" i="126"/>
  <c r="AE51" i="126"/>
  <c r="BV55" i="126"/>
  <c r="AG58" i="126"/>
  <c r="O8" i="126"/>
  <c r="AK8" i="126"/>
  <c r="BH8" i="126"/>
  <c r="J10" i="126"/>
  <c r="AN10" i="126"/>
  <c r="BN10" i="126"/>
  <c r="K12" i="126"/>
  <c r="J14" i="126"/>
  <c r="H14" i="126" s="1"/>
  <c r="R33" i="126"/>
  <c r="BC35" i="126"/>
  <c r="CA38" i="126"/>
  <c r="BK38" i="126"/>
  <c r="AU38" i="126"/>
  <c r="AE38" i="126"/>
  <c r="BW38" i="126"/>
  <c r="BG38" i="126"/>
  <c r="AQ38" i="126"/>
  <c r="AA38" i="126"/>
  <c r="BV38" i="126"/>
  <c r="BD38" i="126"/>
  <c r="AL38" i="126"/>
  <c r="BR38" i="126"/>
  <c r="AZ38" i="126"/>
  <c r="AH38" i="126"/>
  <c r="CG38" i="126"/>
  <c r="BM38" i="126"/>
  <c r="AR38" i="126"/>
  <c r="CC38" i="126"/>
  <c r="CC129" i="126" s="1"/>
  <c r="BH38" i="126"/>
  <c r="AM38" i="126"/>
  <c r="CB38" i="126"/>
  <c r="BC38" i="126"/>
  <c r="AF38" i="126"/>
  <c r="BZ38" i="126"/>
  <c r="BB38" i="126"/>
  <c r="AD38" i="126"/>
  <c r="BX38" i="126"/>
  <c r="AY38" i="126"/>
  <c r="AB38" i="126"/>
  <c r="BU38" i="126"/>
  <c r="BN38" i="126"/>
  <c r="AJ38" i="126"/>
  <c r="BL38" i="126"/>
  <c r="AI38" i="126"/>
  <c r="BJ38" i="126"/>
  <c r="AG38" i="126"/>
  <c r="BI38" i="126"/>
  <c r="AC38" i="126"/>
  <c r="BP38" i="126"/>
  <c r="AF51" i="126"/>
  <c r="AG55" i="126"/>
  <c r="CL55" i="126"/>
  <c r="CL127" i="126" s="1"/>
  <c r="AH58" i="126"/>
  <c r="P8" i="126"/>
  <c r="AL8" i="126"/>
  <c r="K10" i="126"/>
  <c r="BO10" i="126"/>
  <c r="AY33" i="126"/>
  <c r="BD35" i="126"/>
  <c r="BQ38" i="126"/>
  <c r="AG51" i="126"/>
  <c r="AI55" i="126"/>
  <c r="AL58" i="126"/>
  <c r="Q8" i="126"/>
  <c r="U35" i="126"/>
  <c r="AO73" i="126"/>
  <c r="CS84" i="126"/>
  <c r="CC84" i="126"/>
  <c r="BM84" i="126"/>
  <c r="AW84" i="126"/>
  <c r="CK84" i="126"/>
  <c r="BT84" i="126"/>
  <c r="BC84" i="126"/>
  <c r="CG84" i="126"/>
  <c r="BP84" i="126"/>
  <c r="AY84" i="126"/>
  <c r="CI84" i="126"/>
  <c r="BO84" i="126"/>
  <c r="AU84" i="126"/>
  <c r="CW84" i="126"/>
  <c r="CD84" i="126"/>
  <c r="BJ84" i="126"/>
  <c r="AQ84" i="126"/>
  <c r="CQ84" i="126"/>
  <c r="BV84" i="126"/>
  <c r="AZ84" i="126"/>
  <c r="CP84" i="126"/>
  <c r="BU84" i="126"/>
  <c r="AX84" i="126"/>
  <c r="CM84" i="126"/>
  <c r="BQ84" i="126"/>
  <c r="AS84" i="126"/>
  <c r="CJ84" i="126"/>
  <c r="BH84" i="126"/>
  <c r="CH84" i="126"/>
  <c r="BG84" i="126"/>
  <c r="CF84" i="126"/>
  <c r="BF84" i="126"/>
  <c r="CB84" i="126"/>
  <c r="BD84" i="126"/>
  <c r="BZ84" i="126"/>
  <c r="AP84" i="126"/>
  <c r="BY84" i="126"/>
  <c r="BW84" i="126"/>
  <c r="BS84" i="126"/>
  <c r="BI84" i="126"/>
  <c r="BE84" i="126"/>
  <c r="CV84" i="126"/>
  <c r="CV129" i="126" s="1"/>
  <c r="BB84" i="126"/>
  <c r="CU84" i="126"/>
  <c r="BA84" i="126"/>
  <c r="H116" i="126"/>
  <c r="AF7" i="126"/>
  <c r="AP8" i="126"/>
  <c r="AS10" i="126"/>
  <c r="Q14" i="126"/>
  <c r="BL20" i="126"/>
  <c r="AV20" i="126"/>
  <c r="AF20" i="126"/>
  <c r="P20" i="126"/>
  <c r="BJ20" i="126"/>
  <c r="AS20" i="126"/>
  <c r="AB20" i="126"/>
  <c r="BF20" i="126"/>
  <c r="AO20" i="126"/>
  <c r="X20" i="126"/>
  <c r="BP20" i="126"/>
  <c r="AW20" i="126"/>
  <c r="AC20" i="126"/>
  <c r="BO20" i="126"/>
  <c r="AU20" i="126"/>
  <c r="AA20" i="126"/>
  <c r="BM20" i="126"/>
  <c r="AR20" i="126"/>
  <c r="Y20" i="126"/>
  <c r="AZ20" i="126"/>
  <c r="Z20" i="126"/>
  <c r="AY20" i="126"/>
  <c r="W20" i="126"/>
  <c r="AX20" i="126"/>
  <c r="V20" i="126"/>
  <c r="BS20" i="126"/>
  <c r="AT20" i="126"/>
  <c r="U20" i="126"/>
  <c r="W33" i="126"/>
  <c r="BK33" i="126"/>
  <c r="W35" i="126"/>
  <c r="BG35" i="126"/>
  <c r="AN38" i="126"/>
  <c r="AB41" i="126"/>
  <c r="H45" i="126"/>
  <c r="AU55" i="126"/>
  <c r="AO66" i="126"/>
  <c r="CS76" i="126"/>
  <c r="CC76" i="126"/>
  <c r="CC127" i="126" s="1"/>
  <c r="BM76" i="126"/>
  <c r="AW76" i="126"/>
  <c r="CO76" i="126"/>
  <c r="BY76" i="126"/>
  <c r="BI76" i="126"/>
  <c r="CP76" i="126"/>
  <c r="BW76" i="126"/>
  <c r="BE76" i="126"/>
  <c r="CK76" i="126"/>
  <c r="BS76" i="126"/>
  <c r="BA76" i="126"/>
  <c r="CI76" i="126"/>
  <c r="BO76" i="126"/>
  <c r="AT76" i="126"/>
  <c r="CH76" i="126"/>
  <c r="BN76" i="126"/>
  <c r="AS76" i="126"/>
  <c r="CE76" i="126"/>
  <c r="BJ76" i="126"/>
  <c r="AP76" i="126"/>
  <c r="BZ76" i="126"/>
  <c r="AZ76" i="126"/>
  <c r="BX76" i="126"/>
  <c r="AY76" i="126"/>
  <c r="CV76" i="126"/>
  <c r="BV76" i="126"/>
  <c r="AX76" i="126"/>
  <c r="CT76" i="126"/>
  <c r="CT127" i="126" s="1"/>
  <c r="BT76" i="126"/>
  <c r="AU76" i="126"/>
  <c r="CN76" i="126"/>
  <c r="BG76" i="126"/>
  <c r="CM76" i="126"/>
  <c r="BF76" i="126"/>
  <c r="CJ76" i="126"/>
  <c r="BC76" i="126"/>
  <c r="CG76" i="126"/>
  <c r="BB76" i="126"/>
  <c r="CB76" i="126"/>
  <c r="CA76" i="126"/>
  <c r="BU76" i="126"/>
  <c r="BR76" i="126"/>
  <c r="CU76" i="126"/>
  <c r="CU127" i="126" s="1"/>
  <c r="AT84" i="126"/>
  <c r="H94" i="126"/>
  <c r="AG7" i="126"/>
  <c r="AG127" i="126" s="1"/>
  <c r="R14" i="126"/>
  <c r="R127" i="126" s="1"/>
  <c r="AM20" i="126"/>
  <c r="AM129" i="126" s="1"/>
  <c r="CD38" i="126"/>
  <c r="AP7" i="126"/>
  <c r="AP127" i="126" s="1"/>
  <c r="BM7" i="126"/>
  <c r="Y8" i="126"/>
  <c r="AZ8" i="126"/>
  <c r="AZ127" i="126" s="1"/>
  <c r="AJ9" i="126"/>
  <c r="BM9" i="126"/>
  <c r="AY10" i="126"/>
  <c r="BH13" i="126"/>
  <c r="AR13" i="126"/>
  <c r="AB13" i="126"/>
  <c r="L13" i="126"/>
  <c r="BJ13" i="126"/>
  <c r="AS13" i="126"/>
  <c r="AA13" i="126"/>
  <c r="J13" i="126"/>
  <c r="BE13" i="126"/>
  <c r="AM13" i="126"/>
  <c r="U13" i="126"/>
  <c r="BB13" i="126"/>
  <c r="AJ13" i="126"/>
  <c r="R13" i="126"/>
  <c r="BP13" i="126"/>
  <c r="AV13" i="126"/>
  <c r="Z13" i="126"/>
  <c r="BO13" i="126"/>
  <c r="AU13" i="126"/>
  <c r="Y13" i="126"/>
  <c r="BN13" i="126"/>
  <c r="AT13" i="126"/>
  <c r="X13" i="126"/>
  <c r="BM13" i="126"/>
  <c r="AQ13" i="126"/>
  <c r="W13" i="126"/>
  <c r="AH13" i="126"/>
  <c r="BE15" i="126"/>
  <c r="AO15" i="126"/>
  <c r="Y15" i="126"/>
  <c r="BP15" i="126"/>
  <c r="AY15" i="126"/>
  <c r="AH15" i="126"/>
  <c r="BL15" i="126"/>
  <c r="AU15" i="126"/>
  <c r="AD15" i="126"/>
  <c r="M15" i="126"/>
  <c r="BQ15" i="126"/>
  <c r="AW15" i="126"/>
  <c r="AC15" i="126"/>
  <c r="K15" i="126"/>
  <c r="BM15" i="126"/>
  <c r="AS15" i="126"/>
  <c r="Z15" i="126"/>
  <c r="AX15" i="126"/>
  <c r="AA15" i="126"/>
  <c r="AV15" i="126"/>
  <c r="X15" i="126"/>
  <c r="AT15" i="126"/>
  <c r="W15" i="126"/>
  <c r="BO15" i="126"/>
  <c r="AR15" i="126"/>
  <c r="V15" i="126"/>
  <c r="BJ15" i="126"/>
  <c r="V18" i="126"/>
  <c r="BA20" i="126"/>
  <c r="W7" i="126"/>
  <c r="AT7" i="126"/>
  <c r="BQ7" i="126"/>
  <c r="AG8" i="126"/>
  <c r="BC8" i="126"/>
  <c r="P9" i="126"/>
  <c r="AQ9" i="126"/>
  <c r="BQ9" i="126"/>
  <c r="BQ129" i="126" s="1"/>
  <c r="AC10" i="126"/>
  <c r="BI10" i="126"/>
  <c r="M13" i="126"/>
  <c r="AL13" i="126"/>
  <c r="BQ13" i="126"/>
  <c r="N15" i="126"/>
  <c r="AM15" i="126"/>
  <c r="Y18" i="126"/>
  <c r="BE18" i="126"/>
  <c r="T20" i="126"/>
  <c r="BD20" i="126"/>
  <c r="AB22" i="126"/>
  <c r="BD22" i="126"/>
  <c r="AR33" i="126"/>
  <c r="BY33" i="126"/>
  <c r="AQ35" i="126"/>
  <c r="CB35" i="126"/>
  <c r="BA38" i="126"/>
  <c r="AI40" i="126"/>
  <c r="AE40" i="126"/>
  <c r="AJ40" i="126"/>
  <c r="AD40" i="126"/>
  <c r="AC40" i="126"/>
  <c r="AA40" i="126"/>
  <c r="Z40" i="126"/>
  <c r="H40" i="126" s="1"/>
  <c r="BR55" i="126"/>
  <c r="BJ57" i="126"/>
  <c r="BL76" i="126"/>
  <c r="CE84" i="126"/>
  <c r="BH6" i="126"/>
  <c r="BH129" i="126" s="1"/>
  <c r="AR6" i="126"/>
  <c r="AB6" i="126"/>
  <c r="L6" i="126"/>
  <c r="BK6" i="126"/>
  <c r="BK129" i="126" s="1"/>
  <c r="AT6" i="126"/>
  <c r="AC6" i="126"/>
  <c r="AC127" i="126" s="1"/>
  <c r="K6" i="126"/>
  <c r="AS6" i="126"/>
  <c r="AB16" i="126"/>
  <c r="BH17" i="126"/>
  <c r="AR17" i="126"/>
  <c r="AB17" i="126"/>
  <c r="L17" i="126"/>
  <c r="BK17" i="126"/>
  <c r="AT17" i="126"/>
  <c r="AC17" i="126"/>
  <c r="K17" i="126"/>
  <c r="H17" i="126" s="1"/>
  <c r="BF17" i="126"/>
  <c r="AO17" i="126"/>
  <c r="X17" i="126"/>
  <c r="BI17" i="126"/>
  <c r="AN17" i="126"/>
  <c r="U17" i="126"/>
  <c r="BG17" i="126"/>
  <c r="BD17" i="126"/>
  <c r="AK17" i="126"/>
  <c r="R17" i="126"/>
  <c r="AF17" i="126"/>
  <c r="BA17" i="126"/>
  <c r="AF21" i="126"/>
  <c r="AF127" i="126" s="1"/>
  <c r="BD21" i="126"/>
  <c r="AW78" i="126"/>
  <c r="AX78" i="126"/>
  <c r="AZ78" i="126"/>
  <c r="AU78" i="126"/>
  <c r="AY78" i="126"/>
  <c r="AV78" i="126"/>
  <c r="AS78" i="126"/>
  <c r="AT78" i="126"/>
  <c r="AR78" i="126"/>
  <c r="AP78" i="126"/>
  <c r="AO78" i="126"/>
  <c r="BG119" i="126"/>
  <c r="BH119" i="126" s="1"/>
  <c r="BI119" i="126" s="1"/>
  <c r="BJ119" i="126" s="1"/>
  <c r="BK119" i="126" s="1"/>
  <c r="BL119" i="126" s="1"/>
  <c r="BM119" i="126" s="1"/>
  <c r="BN119" i="126" s="1"/>
  <c r="BO119" i="126" s="1"/>
  <c r="BP119" i="126" s="1"/>
  <c r="BQ119" i="126" s="1"/>
  <c r="BR119" i="126" s="1"/>
  <c r="BS119" i="126" s="1"/>
  <c r="BT119" i="126" s="1"/>
  <c r="BU119" i="126" s="1"/>
  <c r="BV119" i="126" s="1"/>
  <c r="BW119" i="126" s="1"/>
  <c r="BX119" i="126" s="1"/>
  <c r="BY119" i="126" s="1"/>
  <c r="BZ119" i="126" s="1"/>
  <c r="CA119" i="126" s="1"/>
  <c r="CB119" i="126" s="1"/>
  <c r="CC119" i="126" s="1"/>
  <c r="CD119" i="126" s="1"/>
  <c r="CE119" i="126" s="1"/>
  <c r="CF119" i="126" s="1"/>
  <c r="CG119" i="126" s="1"/>
  <c r="CH119" i="126" s="1"/>
  <c r="CI119" i="126" s="1"/>
  <c r="CJ119" i="126" s="1"/>
  <c r="CK119" i="126" s="1"/>
  <c r="CL119" i="126" s="1"/>
  <c r="CM119" i="126" s="1"/>
  <c r="CN119" i="126" s="1"/>
  <c r="CO119" i="126" s="1"/>
  <c r="CP119" i="126" s="1"/>
  <c r="CQ119" i="126" s="1"/>
  <c r="CR119" i="126" s="1"/>
  <c r="CS119" i="126" s="1"/>
  <c r="CT119" i="126" s="1"/>
  <c r="CU119" i="126" s="1"/>
  <c r="CV119" i="126" s="1"/>
  <c r="CW119" i="126" s="1"/>
  <c r="CX119" i="126" s="1"/>
  <c r="CY119" i="126" s="1"/>
  <c r="CZ119" i="126" s="1"/>
  <c r="DA119" i="126" s="1"/>
  <c r="DB119" i="126" s="1"/>
  <c r="DC119" i="126" s="1"/>
  <c r="DD119" i="126" s="1"/>
  <c r="DE119" i="126" s="1"/>
  <c r="DF119" i="126" s="1"/>
  <c r="DG119" i="126" s="1"/>
  <c r="DH119" i="126" s="1"/>
  <c r="DI119" i="126" s="1"/>
  <c r="DJ119" i="126" s="1"/>
  <c r="BE4" i="126"/>
  <c r="AO4" i="126"/>
  <c r="Y4" i="126"/>
  <c r="BP4" i="126"/>
  <c r="AY4" i="126"/>
  <c r="AH4" i="126"/>
  <c r="Q4" i="126"/>
  <c r="AQ4" i="126"/>
  <c r="BI4" i="126"/>
  <c r="Z6" i="126"/>
  <c r="BL6" i="126"/>
  <c r="AW16" i="126"/>
  <c r="Z4" i="126"/>
  <c r="AR4" i="126"/>
  <c r="BJ4" i="126"/>
  <c r="AA6" i="126"/>
  <c r="AU6" i="126"/>
  <c r="AU127" i="126" s="1"/>
  <c r="BM6" i="126"/>
  <c r="AC16" i="126"/>
  <c r="AG17" i="126"/>
  <c r="BB17" i="126"/>
  <c r="AG21" i="126"/>
  <c r="BT32" i="126"/>
  <c r="BD32" i="126"/>
  <c r="AN32" i="126"/>
  <c r="X32" i="126"/>
  <c r="BP32" i="126"/>
  <c r="AZ32" i="126"/>
  <c r="AJ32" i="126"/>
  <c r="T32" i="126"/>
  <c r="BU32" i="126"/>
  <c r="BB32" i="126"/>
  <c r="AI32" i="126"/>
  <c r="Q32" i="126"/>
  <c r="H32" i="126" s="1"/>
  <c r="BO32" i="126"/>
  <c r="AW32" i="126"/>
  <c r="AE32" i="126"/>
  <c r="BW32" i="126"/>
  <c r="BA32" i="126"/>
  <c r="AF32" i="126"/>
  <c r="BV32" i="126"/>
  <c r="AY32" i="126"/>
  <c r="AD32" i="126"/>
  <c r="BR32" i="126"/>
  <c r="AV32" i="126"/>
  <c r="AB32" i="126"/>
  <c r="AO32" i="126"/>
  <c r="BL32" i="126"/>
  <c r="CB53" i="126"/>
  <c r="BL53" i="126"/>
  <c r="AV53" i="126"/>
  <c r="AF53" i="126"/>
  <c r="BX53" i="126"/>
  <c r="BH53" i="126"/>
  <c r="AR53" i="126"/>
  <c r="CI53" i="126"/>
  <c r="BQ53" i="126"/>
  <c r="AY53" i="126"/>
  <c r="AG53" i="126"/>
  <c r="CE53" i="126"/>
  <c r="BM53" i="126"/>
  <c r="AT53" i="126"/>
  <c r="CA53" i="126"/>
  <c r="BF53" i="126"/>
  <c r="AL53" i="126"/>
  <c r="BZ53" i="126"/>
  <c r="BE53" i="126"/>
  <c r="AK53" i="126"/>
  <c r="BV53" i="126"/>
  <c r="BB53" i="126"/>
  <c r="AH53" i="126"/>
  <c r="BT53" i="126"/>
  <c r="AU53" i="126"/>
  <c r="BS53" i="126"/>
  <c r="AS53" i="126"/>
  <c r="BP53" i="126"/>
  <c r="AP53" i="126"/>
  <c r="BO53" i="126"/>
  <c r="AO53" i="126"/>
  <c r="BJ53" i="126"/>
  <c r="BB108" i="126"/>
  <c r="BC108" i="126" s="1"/>
  <c r="BD108" i="126" s="1"/>
  <c r="BE108" i="126" s="1"/>
  <c r="BF108" i="126" s="1"/>
  <c r="BG108" i="126" s="1"/>
  <c r="BH108" i="126" s="1"/>
  <c r="BI108" i="126" s="1"/>
  <c r="BJ108" i="126" s="1"/>
  <c r="BK108" i="126" s="1"/>
  <c r="BL108" i="126" s="1"/>
  <c r="BM108" i="126" s="1"/>
  <c r="BN108" i="126" s="1"/>
  <c r="BO108" i="126" s="1"/>
  <c r="BP108" i="126" s="1"/>
  <c r="BQ108" i="126" s="1"/>
  <c r="BR108" i="126" s="1"/>
  <c r="BS108" i="126" s="1"/>
  <c r="BT108" i="126" s="1"/>
  <c r="BU108" i="126" s="1"/>
  <c r="BV108" i="126" s="1"/>
  <c r="BW108" i="126" s="1"/>
  <c r="BX108" i="126" s="1"/>
  <c r="BY108" i="126" s="1"/>
  <c r="BZ108" i="126" s="1"/>
  <c r="CA108" i="126" s="1"/>
  <c r="CB108" i="126" s="1"/>
  <c r="CC108" i="126" s="1"/>
  <c r="CD108" i="126" s="1"/>
  <c r="CE108" i="126" s="1"/>
  <c r="CF108" i="126" s="1"/>
  <c r="CG108" i="126" s="1"/>
  <c r="CH108" i="126" s="1"/>
  <c r="CI108" i="126" s="1"/>
  <c r="CJ108" i="126" s="1"/>
  <c r="CK108" i="126" s="1"/>
  <c r="CL108" i="126" s="1"/>
  <c r="CM108" i="126" s="1"/>
  <c r="CN108" i="126" s="1"/>
  <c r="CO108" i="126" s="1"/>
  <c r="CP108" i="126" s="1"/>
  <c r="CQ108" i="126" s="1"/>
  <c r="CR108" i="126" s="1"/>
  <c r="CS108" i="126" s="1"/>
  <c r="CT108" i="126" s="1"/>
  <c r="CU108" i="126" s="1"/>
  <c r="CV108" i="126" s="1"/>
  <c r="CW108" i="126" s="1"/>
  <c r="CX108" i="126" s="1"/>
  <c r="CY108" i="126" s="1"/>
  <c r="H109" i="126"/>
  <c r="BF16" i="126"/>
  <c r="AP16" i="126"/>
  <c r="Z16" i="126"/>
  <c r="J16" i="126"/>
  <c r="BD16" i="126"/>
  <c r="AM16" i="126"/>
  <c r="V16" i="126"/>
  <c r="BQ16" i="126"/>
  <c r="AZ16" i="126"/>
  <c r="AZ129" i="126" s="1"/>
  <c r="AI16" i="126"/>
  <c r="R16" i="126"/>
  <c r="BL16" i="126"/>
  <c r="AS16" i="126"/>
  <c r="Y16" i="126"/>
  <c r="BI16" i="126"/>
  <c r="AO16" i="126"/>
  <c r="U16" i="126"/>
  <c r="AD16" i="126"/>
  <c r="AY16" i="126"/>
  <c r="BN21" i="126"/>
  <c r="AX21" i="126"/>
  <c r="AH21" i="126"/>
  <c r="R21" i="126"/>
  <c r="BQ21" i="126"/>
  <c r="AZ21" i="126"/>
  <c r="AI21" i="126"/>
  <c r="Q21" i="126"/>
  <c r="BL21" i="126"/>
  <c r="AU21" i="126"/>
  <c r="AD21" i="126"/>
  <c r="M21" i="126"/>
  <c r="BK21" i="126"/>
  <c r="AR21" i="126"/>
  <c r="Y21" i="126"/>
  <c r="BJ21" i="126"/>
  <c r="AQ21" i="126"/>
  <c r="X21" i="126"/>
  <c r="BH21" i="126"/>
  <c r="AO21" i="126"/>
  <c r="V21" i="126"/>
  <c r="AJ21" i="126"/>
  <c r="BF21" i="126"/>
  <c r="AX101" i="126"/>
  <c r="AY101" i="126" s="1"/>
  <c r="AZ101" i="126" s="1"/>
  <c r="BA101" i="126" s="1"/>
  <c r="BB101" i="126" s="1"/>
  <c r="BC101" i="126" s="1"/>
  <c r="BD101" i="126" s="1"/>
  <c r="BE101" i="126" s="1"/>
  <c r="BF101" i="126" s="1"/>
  <c r="BG101" i="126" s="1"/>
  <c r="BH101" i="126" s="1"/>
  <c r="BI101" i="126" s="1"/>
  <c r="BJ101" i="126" s="1"/>
  <c r="BK101" i="126" s="1"/>
  <c r="BL101" i="126" s="1"/>
  <c r="BM101" i="126" s="1"/>
  <c r="BN101" i="126" s="1"/>
  <c r="BO101" i="126" s="1"/>
  <c r="BP101" i="126" s="1"/>
  <c r="BQ101" i="126" s="1"/>
  <c r="BR101" i="126" s="1"/>
  <c r="BS101" i="126" s="1"/>
  <c r="BT101" i="126" s="1"/>
  <c r="BU101" i="126" s="1"/>
  <c r="BV101" i="126" s="1"/>
  <c r="BW101" i="126" s="1"/>
  <c r="BX101" i="126" s="1"/>
  <c r="BY101" i="126" s="1"/>
  <c r="BZ101" i="126" s="1"/>
  <c r="CA101" i="126" s="1"/>
  <c r="CB101" i="126" s="1"/>
  <c r="CC101" i="126" s="1"/>
  <c r="CD101" i="126" s="1"/>
  <c r="CE101" i="126" s="1"/>
  <c r="CF101" i="126" s="1"/>
  <c r="CG101" i="126" s="1"/>
  <c r="CH101" i="126" s="1"/>
  <c r="CI101" i="126" s="1"/>
  <c r="CJ101" i="126" s="1"/>
  <c r="CK101" i="126" s="1"/>
  <c r="CL101" i="126" s="1"/>
  <c r="CM101" i="126" s="1"/>
  <c r="CN101" i="126" s="1"/>
  <c r="CO101" i="126" s="1"/>
  <c r="CP101" i="126" s="1"/>
  <c r="CQ101" i="126" s="1"/>
  <c r="CR101" i="126" s="1"/>
  <c r="H101" i="126"/>
  <c r="J4" i="126"/>
  <c r="G1" i="126" s="1"/>
  <c r="AB4" i="126"/>
  <c r="AT4" i="126"/>
  <c r="BL4" i="126"/>
  <c r="M6" i="126"/>
  <c r="M129" i="126" s="1"/>
  <c r="AE6" i="126"/>
  <c r="AW6" i="126"/>
  <c r="AW127" i="126" s="1"/>
  <c r="BO6" i="126"/>
  <c r="BO129" i="126" s="1"/>
  <c r="AE16" i="126"/>
  <c r="BA16" i="126"/>
  <c r="N17" i="126"/>
  <c r="AI17" i="126"/>
  <c r="BE17" i="126"/>
  <c r="AK21" i="126"/>
  <c r="BG21" i="126"/>
  <c r="R32" i="126"/>
  <c r="AQ32" i="126"/>
  <c r="BN32" i="126"/>
  <c r="AE53" i="126"/>
  <c r="BN53" i="126"/>
  <c r="CF62" i="126"/>
  <c r="BP62" i="126"/>
  <c r="AZ62" i="126"/>
  <c r="AJ62" i="126"/>
  <c r="CB62" i="126"/>
  <c r="BL62" i="126"/>
  <c r="AV62" i="126"/>
  <c r="CQ62" i="126"/>
  <c r="BY62" i="126"/>
  <c r="BG62" i="126"/>
  <c r="AO62" i="126"/>
  <c r="CM62" i="126"/>
  <c r="BU62" i="126"/>
  <c r="BC62" i="126"/>
  <c r="AK62" i="126"/>
  <c r="CC62" i="126"/>
  <c r="BH62" i="126"/>
  <c r="AM62" i="126"/>
  <c r="CA62" i="126"/>
  <c r="BF62" i="126"/>
  <c r="AL62" i="126"/>
  <c r="BZ62" i="126"/>
  <c r="BE62" i="126"/>
  <c r="BW62" i="126"/>
  <c r="BB62" i="126"/>
  <c r="BT62" i="126"/>
  <c r="AT62" i="126"/>
  <c r="BS62" i="126"/>
  <c r="AS62" i="126"/>
  <c r="CP62" i="126"/>
  <c r="BQ62" i="126"/>
  <c r="AQ62" i="126"/>
  <c r="CO62" i="126"/>
  <c r="BO62" i="126"/>
  <c r="AP62" i="126"/>
  <c r="BX62" i="126"/>
  <c r="BX129" i="126" s="1"/>
  <c r="CU129" i="126"/>
  <c r="BH121" i="126"/>
  <c r="BI121" i="126"/>
  <c r="BJ121" i="126" s="1"/>
  <c r="BK121" i="126" s="1"/>
  <c r="BL121" i="126" s="1"/>
  <c r="BM121" i="126" s="1"/>
  <c r="BN121" i="126" s="1"/>
  <c r="BO121" i="126" s="1"/>
  <c r="BP121" i="126" s="1"/>
  <c r="BQ121" i="126" s="1"/>
  <c r="CD54" i="126"/>
  <c r="BN54" i="126"/>
  <c r="AX54" i="126"/>
  <c r="AH54" i="126"/>
  <c r="BZ54" i="126"/>
  <c r="BJ54" i="126"/>
  <c r="AT54" i="126"/>
  <c r="CB54" i="126"/>
  <c r="BI54" i="126"/>
  <c r="AQ54" i="126"/>
  <c r="BW54" i="126"/>
  <c r="BE54" i="126"/>
  <c r="AM54" i="126"/>
  <c r="CC54" i="126"/>
  <c r="BG54" i="126"/>
  <c r="AL54" i="126"/>
  <c r="CA54" i="126"/>
  <c r="BF54" i="126"/>
  <c r="AK54" i="126"/>
  <c r="BY54" i="126"/>
  <c r="BD54" i="126"/>
  <c r="BV54" i="126"/>
  <c r="BB54" i="126"/>
  <c r="AG54" i="126"/>
  <c r="BC54" i="126"/>
  <c r="CH54" i="126"/>
  <c r="BJ19" i="126"/>
  <c r="AT19" i="126"/>
  <c r="AD19" i="126"/>
  <c r="N19" i="126"/>
  <c r="BD19" i="126"/>
  <c r="AM19" i="126"/>
  <c r="V19" i="126"/>
  <c r="BQ19" i="126"/>
  <c r="AZ19" i="126"/>
  <c r="AI19" i="126"/>
  <c r="R19" i="126"/>
  <c r="AB19" i="126"/>
  <c r="AV19" i="126"/>
  <c r="BO19" i="126"/>
  <c r="AE24" i="126"/>
  <c r="AY24" i="126"/>
  <c r="AF25" i="126"/>
  <c r="AZ25" i="126"/>
  <c r="AE26" i="126"/>
  <c r="AY26" i="126"/>
  <c r="AE29" i="126"/>
  <c r="AY29" i="126"/>
  <c r="AH45" i="126"/>
  <c r="AF45" i="126"/>
  <c r="AP45" i="126"/>
  <c r="AO45" i="126"/>
  <c r="AL45" i="126"/>
  <c r="AX50" i="126"/>
  <c r="AE54" i="126"/>
  <c r="BH54" i="126"/>
  <c r="CI54" i="126"/>
  <c r="BU25" i="126"/>
  <c r="BU129" i="126" s="1"/>
  <c r="BE25" i="126"/>
  <c r="AO25" i="126"/>
  <c r="Y25" i="126"/>
  <c r="BQ25" i="126"/>
  <c r="BA25" i="126"/>
  <c r="AK25" i="126"/>
  <c r="U25" i="126"/>
  <c r="H25" i="126" s="1"/>
  <c r="BO25" i="126"/>
  <c r="AW25" i="126"/>
  <c r="AE25" i="126"/>
  <c r="BK25" i="126"/>
  <c r="AS25" i="126"/>
  <c r="AA25" i="126"/>
  <c r="AH25" i="126"/>
  <c r="BC25" i="126"/>
  <c r="BW50" i="126"/>
  <c r="BW129" i="126" s="1"/>
  <c r="BG50" i="126"/>
  <c r="AQ50" i="126"/>
  <c r="CI50" i="126"/>
  <c r="BS50" i="126"/>
  <c r="BC50" i="126"/>
  <c r="AM50" i="126"/>
  <c r="CF50" i="126"/>
  <c r="BN50" i="126"/>
  <c r="AV50" i="126"/>
  <c r="AD50" i="126"/>
  <c r="CB50" i="126"/>
  <c r="BJ50" i="126"/>
  <c r="AR50" i="126"/>
  <c r="CD50" i="126"/>
  <c r="BI50" i="126"/>
  <c r="AN50" i="126"/>
  <c r="CC50" i="126"/>
  <c r="BH50" i="126"/>
  <c r="AL50" i="126"/>
  <c r="BY50" i="126"/>
  <c r="BD50" i="126"/>
  <c r="AI50" i="126"/>
  <c r="AZ50" i="126"/>
  <c r="BZ50" i="126"/>
  <c r="AI54" i="126"/>
  <c r="BL54" i="126"/>
  <c r="CK54" i="126"/>
  <c r="CK129" i="126" s="1"/>
  <c r="AR91" i="126"/>
  <c r="AY91" i="126"/>
  <c r="AX91" i="126"/>
  <c r="AU91" i="126"/>
  <c r="AS91" i="126"/>
  <c r="BB91" i="126"/>
  <c r="BA91" i="126"/>
  <c r="BA128" i="126" s="1"/>
  <c r="AZ91" i="126"/>
  <c r="AV91" i="126"/>
  <c r="BT24" i="126"/>
  <c r="BT129" i="126" s="1"/>
  <c r="BD24" i="126"/>
  <c r="AN24" i="126"/>
  <c r="X24" i="126"/>
  <c r="BP24" i="126"/>
  <c r="AZ24" i="126"/>
  <c r="AJ24" i="126"/>
  <c r="T24" i="126"/>
  <c r="BF24" i="126"/>
  <c r="AM24" i="126"/>
  <c r="U24" i="126"/>
  <c r="BS24" i="126"/>
  <c r="BA24" i="126"/>
  <c r="AH24" i="126"/>
  <c r="P24" i="126"/>
  <c r="AI24" i="126"/>
  <c r="BE24" i="126"/>
  <c r="AI25" i="126"/>
  <c r="BD25" i="126"/>
  <c r="BV26" i="126"/>
  <c r="BF26" i="126"/>
  <c r="AP26" i="126"/>
  <c r="Z26" i="126"/>
  <c r="BR26" i="126"/>
  <c r="BB26" i="126"/>
  <c r="AL26" i="126"/>
  <c r="V26" i="126"/>
  <c r="BH26" i="126"/>
  <c r="AO26" i="126"/>
  <c r="W26" i="126"/>
  <c r="BU26" i="126"/>
  <c r="BC26" i="126"/>
  <c r="AJ26" i="126"/>
  <c r="R26" i="126"/>
  <c r="H26" i="126" s="1"/>
  <c r="AH26" i="126"/>
  <c r="BD26" i="126"/>
  <c r="AA27" i="126"/>
  <c r="AA128" i="126" s="1"/>
  <c r="W27" i="126"/>
  <c r="H27" i="126" s="1"/>
  <c r="BI29" i="126"/>
  <c r="AS29" i="126"/>
  <c r="AC29" i="126"/>
  <c r="BU29" i="126"/>
  <c r="BE29" i="126"/>
  <c r="AO29" i="126"/>
  <c r="Y29" i="126"/>
  <c r="BM29" i="126"/>
  <c r="AU29" i="126"/>
  <c r="AB29" i="126"/>
  <c r="BH29" i="126"/>
  <c r="AP29" i="126"/>
  <c r="W29" i="126"/>
  <c r="AH29" i="126"/>
  <c r="BB29" i="126"/>
  <c r="BW29" i="126"/>
  <c r="BA50" i="126"/>
  <c r="CA50" i="126"/>
  <c r="AJ54" i="126"/>
  <c r="BM54" i="126"/>
  <c r="CL54" i="126"/>
  <c r="AQ91" i="126"/>
  <c r="H98" i="126"/>
  <c r="BC111" i="126"/>
  <c r="BD111" i="126" s="1"/>
  <c r="BE111" i="126" s="1"/>
  <c r="BF111" i="126" s="1"/>
  <c r="BG111" i="126" s="1"/>
  <c r="BH111" i="126" s="1"/>
  <c r="BI111" i="126" s="1"/>
  <c r="BJ111" i="126" s="1"/>
  <c r="BK111" i="126" s="1"/>
  <c r="BL111" i="126" s="1"/>
  <c r="BM111" i="126" s="1"/>
  <c r="BN111" i="126" s="1"/>
  <c r="BO111" i="126" s="1"/>
  <c r="BP111" i="126" s="1"/>
  <c r="BQ111" i="126" s="1"/>
  <c r="BR111" i="126" s="1"/>
  <c r="BS111" i="126" s="1"/>
  <c r="BT111" i="126" s="1"/>
  <c r="BU111" i="126" s="1"/>
  <c r="BV111" i="126" s="1"/>
  <c r="BW111" i="126" s="1"/>
  <c r="BX111" i="126" s="1"/>
  <c r="BY111" i="126" s="1"/>
  <c r="BZ111" i="126" s="1"/>
  <c r="CA111" i="126" s="1"/>
  <c r="CB111" i="126" s="1"/>
  <c r="CC111" i="126" s="1"/>
  <c r="CD111" i="126" s="1"/>
  <c r="CE111" i="126" s="1"/>
  <c r="CF111" i="126" s="1"/>
  <c r="CG111" i="126" s="1"/>
  <c r="CH111" i="126" s="1"/>
  <c r="CI111" i="126" s="1"/>
  <c r="CJ111" i="126" s="1"/>
  <c r="CK111" i="126" s="1"/>
  <c r="CL111" i="126" s="1"/>
  <c r="CM111" i="126" s="1"/>
  <c r="CN111" i="126" s="1"/>
  <c r="CO111" i="126" s="1"/>
  <c r="CP111" i="126" s="1"/>
  <c r="CQ111" i="126" s="1"/>
  <c r="CR111" i="126" s="1"/>
  <c r="CS111" i="126" s="1"/>
  <c r="CT111" i="126" s="1"/>
  <c r="CU111" i="126" s="1"/>
  <c r="CV111" i="126" s="1"/>
  <c r="CW111" i="126" s="1"/>
  <c r="CX111" i="126" s="1"/>
  <c r="CY111" i="126" s="1"/>
  <c r="CZ111" i="126" s="1"/>
  <c r="DA111" i="126" s="1"/>
  <c r="DB111" i="126" s="1"/>
  <c r="DC111" i="126" s="1"/>
  <c r="DD111" i="126" s="1"/>
  <c r="DE111" i="126" s="1"/>
  <c r="DF111" i="126" s="1"/>
  <c r="DG111" i="126" s="1"/>
  <c r="DH111" i="126" s="1"/>
  <c r="DI111" i="126" s="1"/>
  <c r="BK11" i="126"/>
  <c r="AU11" i="126"/>
  <c r="AE11" i="126"/>
  <c r="O11" i="126"/>
  <c r="Y11" i="126"/>
  <c r="AP11" i="126"/>
  <c r="BG11" i="126"/>
  <c r="Z23" i="126"/>
  <c r="H23" i="126" s="1"/>
  <c r="AQ23" i="126"/>
  <c r="BH28" i="126"/>
  <c r="AR28" i="126"/>
  <c r="AB28" i="126"/>
  <c r="BT28" i="126"/>
  <c r="BD28" i="126"/>
  <c r="AN28" i="126"/>
  <c r="X28" i="126"/>
  <c r="H28" i="126" s="1"/>
  <c r="AF28" i="126"/>
  <c r="AX28" i="126"/>
  <c r="BP28" i="126"/>
  <c r="BY34" i="126"/>
  <c r="BI34" i="126"/>
  <c r="AS34" i="126"/>
  <c r="AC34" i="126"/>
  <c r="BU34" i="126"/>
  <c r="BE34" i="126"/>
  <c r="AO34" i="126"/>
  <c r="Y34" i="126"/>
  <c r="H34" i="126" s="1"/>
  <c r="AJ34" i="126"/>
  <c r="BB34" i="126"/>
  <c r="BT34" i="126"/>
  <c r="AK37" i="126"/>
  <c r="BD37" i="126"/>
  <c r="AO42" i="126"/>
  <c r="BK42" i="126"/>
  <c r="AW59" i="126"/>
  <c r="BR59" i="126"/>
  <c r="AY60" i="126"/>
  <c r="BS60" i="126"/>
  <c r="AT128" i="126"/>
  <c r="BG75" i="126"/>
  <c r="CM81" i="126"/>
  <c r="CL81" i="126"/>
  <c r="BV81" i="126"/>
  <c r="BF81" i="126"/>
  <c r="AP81" i="126"/>
  <c r="CH81" i="126"/>
  <c r="BR81" i="126"/>
  <c r="BB81" i="126"/>
  <c r="CJ81" i="126"/>
  <c r="BQ81" i="126"/>
  <c r="AY81" i="126"/>
  <c r="CE81" i="126"/>
  <c r="BM81" i="126"/>
  <c r="AU81" i="126"/>
  <c r="CV81" i="126"/>
  <c r="CA81" i="126"/>
  <c r="BG81" i="126"/>
  <c r="CU81" i="126"/>
  <c r="BZ81" i="126"/>
  <c r="BE81" i="126"/>
  <c r="CR81" i="126"/>
  <c r="BW81" i="126"/>
  <c r="BA81" i="126"/>
  <c r="BL81" i="126"/>
  <c r="CN81" i="126"/>
  <c r="BO87" i="126"/>
  <c r="BN89" i="126"/>
  <c r="CA60" i="126"/>
  <c r="BK60" i="126"/>
  <c r="AU60" i="126"/>
  <c r="CM60" i="126"/>
  <c r="BW60" i="126"/>
  <c r="BG60" i="126"/>
  <c r="AQ60" i="126"/>
  <c r="CD60" i="126"/>
  <c r="BL60" i="126"/>
  <c r="AS60" i="126"/>
  <c r="BY60" i="126"/>
  <c r="BF60" i="126"/>
  <c r="AN60" i="126"/>
  <c r="BA60" i="126"/>
  <c r="BU60" i="126"/>
  <c r="CP60" i="126"/>
  <c r="CQ75" i="126"/>
  <c r="CA75" i="126"/>
  <c r="BK75" i="126"/>
  <c r="AU75" i="126"/>
  <c r="CG75" i="126"/>
  <c r="BP75" i="126"/>
  <c r="AY75" i="126"/>
  <c r="CT75" i="126"/>
  <c r="CC75" i="126"/>
  <c r="BL75" i="126"/>
  <c r="AT75" i="126"/>
  <c r="CK75" i="126"/>
  <c r="BR75" i="126"/>
  <c r="AX75" i="126"/>
  <c r="CJ75" i="126"/>
  <c r="BQ75" i="126"/>
  <c r="AW75" i="126"/>
  <c r="CF75" i="126"/>
  <c r="BM75" i="126"/>
  <c r="AR75" i="126"/>
  <c r="BI75" i="126"/>
  <c r="CI75" i="126"/>
  <c r="CJ87" i="126"/>
  <c r="CJ129" i="126" s="1"/>
  <c r="BT87" i="126"/>
  <c r="BD87" i="126"/>
  <c r="CI87" i="126"/>
  <c r="BS87" i="126"/>
  <c r="BC87" i="126"/>
  <c r="CM87" i="126"/>
  <c r="BU87" i="126"/>
  <c r="BA87" i="126"/>
  <c r="CP87" i="126"/>
  <c r="BW87" i="126"/>
  <c r="BB87" i="126"/>
  <c r="CK87" i="126"/>
  <c r="BP87" i="126"/>
  <c r="AW87" i="126"/>
  <c r="CR87" i="126"/>
  <c r="BV87" i="126"/>
  <c r="AX87" i="126"/>
  <c r="CL87" i="126"/>
  <c r="BN87" i="126"/>
  <c r="AS87" i="126"/>
  <c r="CU87" i="126"/>
  <c r="BX87" i="126"/>
  <c r="AU87" i="126"/>
  <c r="CT87" i="126"/>
  <c r="BR87" i="126"/>
  <c r="AT87" i="126"/>
  <c r="CO87" i="126"/>
  <c r="BM87" i="126"/>
  <c r="BY87" i="126"/>
  <c r="H120" i="126"/>
  <c r="CN59" i="126"/>
  <c r="CN129" i="126" s="1"/>
  <c r="BX59" i="126"/>
  <c r="BH59" i="126"/>
  <c r="AR59" i="126"/>
  <c r="CJ59" i="126"/>
  <c r="BT59" i="126"/>
  <c r="BD59" i="126"/>
  <c r="AN59" i="126"/>
  <c r="CI59" i="126"/>
  <c r="BQ59" i="126"/>
  <c r="AY59" i="126"/>
  <c r="CE59" i="126"/>
  <c r="BM59" i="126"/>
  <c r="AU59" i="126"/>
  <c r="BA59" i="126"/>
  <c r="BV59" i="126"/>
  <c r="BB60" i="126"/>
  <c r="BV60" i="126"/>
  <c r="BJ75" i="126"/>
  <c r="CL75" i="126"/>
  <c r="AY77" i="126"/>
  <c r="AU77" i="126"/>
  <c r="AX77" i="126"/>
  <c r="AS77" i="126"/>
  <c r="AT77" i="126"/>
  <c r="AR77" i="126"/>
  <c r="AO77" i="126"/>
  <c r="H77" i="126" s="1"/>
  <c r="AQ87" i="126"/>
  <c r="BZ87" i="126"/>
  <c r="CJ89" i="126"/>
  <c r="BT89" i="126"/>
  <c r="CL89" i="126"/>
  <c r="BU89" i="126"/>
  <c r="BD89" i="126"/>
  <c r="CK89" i="126"/>
  <c r="BS89" i="126"/>
  <c r="BC89" i="126"/>
  <c r="CV89" i="126"/>
  <c r="CC89" i="126"/>
  <c r="BJ89" i="126"/>
  <c r="AR89" i="126"/>
  <c r="CI89" i="126"/>
  <c r="BO89" i="126"/>
  <c r="AV89" i="126"/>
  <c r="CE89" i="126"/>
  <c r="BK89" i="126"/>
  <c r="AQ89" i="126"/>
  <c r="CT89" i="126"/>
  <c r="BX89" i="126"/>
  <c r="AZ89" i="126"/>
  <c r="CP89" i="126"/>
  <c r="BQ89" i="126"/>
  <c r="AU89" i="126"/>
  <c r="CG89" i="126"/>
  <c r="BG89" i="126"/>
  <c r="CF89" i="126"/>
  <c r="BF89" i="126"/>
  <c r="CA89" i="126"/>
  <c r="BA89" i="126"/>
  <c r="BV89" i="126"/>
  <c r="BG120" i="126"/>
  <c r="BH120" i="126" s="1"/>
  <c r="BI120" i="126" s="1"/>
  <c r="BJ120" i="126" s="1"/>
  <c r="BK120" i="126" s="1"/>
  <c r="BL120" i="126" s="1"/>
  <c r="BM120" i="126" s="1"/>
  <c r="BN120" i="126" s="1"/>
  <c r="BO120" i="126" s="1"/>
  <c r="BP120" i="126" s="1"/>
  <c r="BQ120" i="126" s="1"/>
  <c r="BR120" i="126" s="1"/>
  <c r="BS120" i="126" s="1"/>
  <c r="BT120" i="126" s="1"/>
  <c r="BU120" i="126" s="1"/>
  <c r="BV120" i="126" s="1"/>
  <c r="BW120" i="126" s="1"/>
  <c r="BX120" i="126" s="1"/>
  <c r="BY120" i="126" s="1"/>
  <c r="BZ120" i="126" s="1"/>
  <c r="CA120" i="126" s="1"/>
  <c r="CB120" i="126" s="1"/>
  <c r="CC120" i="126" s="1"/>
  <c r="CD120" i="126" s="1"/>
  <c r="CE120" i="126" s="1"/>
  <c r="CF120" i="126" s="1"/>
  <c r="CG120" i="126" s="1"/>
  <c r="CH120" i="126" s="1"/>
  <c r="CI120" i="126" s="1"/>
  <c r="CJ120" i="126" s="1"/>
  <c r="CK120" i="126" s="1"/>
  <c r="CL120" i="126" s="1"/>
  <c r="CM120" i="126" s="1"/>
  <c r="CN120" i="126" s="1"/>
  <c r="CO120" i="126" s="1"/>
  <c r="CP120" i="126" s="1"/>
  <c r="CQ120" i="126" s="1"/>
  <c r="CR120" i="126" s="1"/>
  <c r="CS120" i="126" s="1"/>
  <c r="CT120" i="126" s="1"/>
  <c r="CU120" i="126" s="1"/>
  <c r="CV120" i="126" s="1"/>
  <c r="CW120" i="126" s="1"/>
  <c r="CX120" i="126" s="1"/>
  <c r="CY120" i="126" s="1"/>
  <c r="CZ120" i="126" s="1"/>
  <c r="DA120" i="126" s="1"/>
  <c r="DB120" i="126" s="1"/>
  <c r="DC120" i="126" s="1"/>
  <c r="DD120" i="126" s="1"/>
  <c r="DE120" i="126" s="1"/>
  <c r="DF120" i="126" s="1"/>
  <c r="DG120" i="126" s="1"/>
  <c r="DH120" i="126" s="1"/>
  <c r="DI120" i="126" s="1"/>
  <c r="DJ120" i="126" s="1"/>
  <c r="DK120" i="126" s="1"/>
  <c r="DL120" i="126" s="1"/>
  <c r="DM120" i="126" s="1"/>
  <c r="BR23" i="126"/>
  <c r="BB23" i="126"/>
  <c r="BB129" i="126" s="1"/>
  <c r="AL23" i="126"/>
  <c r="V23" i="126"/>
  <c r="BN23" i="126"/>
  <c r="AD23" i="126"/>
  <c r="AU23" i="126"/>
  <c r="BL23" i="126"/>
  <c r="BW37" i="126"/>
  <c r="BG37" i="126"/>
  <c r="AQ37" i="126"/>
  <c r="AA37" i="126"/>
  <c r="BS37" i="126"/>
  <c r="CB37" i="126"/>
  <c r="BJ37" i="126"/>
  <c r="AS37" i="126"/>
  <c r="AB37" i="126"/>
  <c r="H37" i="126" s="1"/>
  <c r="BX37" i="126"/>
  <c r="BE37" i="126"/>
  <c r="AN37" i="126"/>
  <c r="AP37" i="126"/>
  <c r="BK37" i="126"/>
  <c r="CE37" i="126"/>
  <c r="BV42" i="126"/>
  <c r="BF42" i="126"/>
  <c r="AP42" i="126"/>
  <c r="CH42" i="126"/>
  <c r="BR42" i="126"/>
  <c r="BB42" i="126"/>
  <c r="AL42" i="126"/>
  <c r="CE42" i="126"/>
  <c r="BM42" i="126"/>
  <c r="AU42" i="126"/>
  <c r="AC42" i="126"/>
  <c r="CA42" i="126"/>
  <c r="BI42" i="126"/>
  <c r="AQ42" i="126"/>
  <c r="AV42" i="126"/>
  <c r="BP42" i="126"/>
  <c r="AN43" i="126"/>
  <c r="AM43" i="126"/>
  <c r="AI43" i="126"/>
  <c r="H43" i="126" s="1"/>
  <c r="AU52" i="126"/>
  <c r="AE52" i="126"/>
  <c r="BG52" i="126"/>
  <c r="AQ52" i="126"/>
  <c r="AS52" i="126"/>
  <c r="BF52" i="126"/>
  <c r="AN52" i="126"/>
  <c r="AW52" i="126"/>
  <c r="AH59" i="126"/>
  <c r="BB59" i="126"/>
  <c r="BW59" i="126"/>
  <c r="AI60" i="126"/>
  <c r="BC60" i="126"/>
  <c r="BX60" i="126"/>
  <c r="AO75" i="126"/>
  <c r="BN75" i="126"/>
  <c r="CM75" i="126"/>
  <c r="AR87" i="126"/>
  <c r="CA87" i="126"/>
  <c r="BW89" i="126"/>
  <c r="H105" i="126"/>
  <c r="BC117" i="126"/>
  <c r="BD117" i="126" s="1"/>
  <c r="BE117" i="126" s="1"/>
  <c r="BF117" i="126" s="1"/>
  <c r="BG117" i="126" s="1"/>
  <c r="BH117" i="126" s="1"/>
  <c r="BI117" i="126" s="1"/>
  <c r="BJ117" i="126" s="1"/>
  <c r="BK117" i="126" s="1"/>
  <c r="BL117" i="126" s="1"/>
  <c r="BM117" i="126" s="1"/>
  <c r="BN117" i="126" s="1"/>
  <c r="BO117" i="126" s="1"/>
  <c r="BP117" i="126" s="1"/>
  <c r="BQ117" i="126" s="1"/>
  <c r="BR117" i="126" s="1"/>
  <c r="BS117" i="126" s="1"/>
  <c r="BT117" i="126" s="1"/>
  <c r="BU117" i="126" s="1"/>
  <c r="BV117" i="126" s="1"/>
  <c r="BW117" i="126" s="1"/>
  <c r="BX117" i="126" s="1"/>
  <c r="BY117" i="126" s="1"/>
  <c r="BZ117" i="126" s="1"/>
  <c r="CA117" i="126" s="1"/>
  <c r="CB117" i="126" s="1"/>
  <c r="CC117" i="126" s="1"/>
  <c r="CD117" i="126" s="1"/>
  <c r="CE117" i="126" s="1"/>
  <c r="CF117" i="126" s="1"/>
  <c r="CG117" i="126" s="1"/>
  <c r="CH117" i="126" s="1"/>
  <c r="CI117" i="126" s="1"/>
  <c r="CJ117" i="126" s="1"/>
  <c r="CK117" i="126" s="1"/>
  <c r="CL117" i="126" s="1"/>
  <c r="CM117" i="126" s="1"/>
  <c r="CN117" i="126" s="1"/>
  <c r="CO117" i="126" s="1"/>
  <c r="CP117" i="126" s="1"/>
  <c r="CQ117" i="126" s="1"/>
  <c r="CR117" i="126" s="1"/>
  <c r="CS117" i="126" s="1"/>
  <c r="CT117" i="126" s="1"/>
  <c r="CU117" i="126" s="1"/>
  <c r="CV117" i="126" s="1"/>
  <c r="CW117" i="126" s="1"/>
  <c r="CX117" i="126" s="1"/>
  <c r="CY117" i="126" s="1"/>
  <c r="CZ117" i="126" s="1"/>
  <c r="DA117" i="126" s="1"/>
  <c r="DB117" i="126" s="1"/>
  <c r="DC117" i="126" s="1"/>
  <c r="DD117" i="126" s="1"/>
  <c r="DE117" i="126" s="1"/>
  <c r="DF117" i="126" s="1"/>
  <c r="DG117" i="126" s="1"/>
  <c r="DH117" i="126" s="1"/>
  <c r="DI117" i="126" s="1"/>
  <c r="CI48" i="126"/>
  <c r="H48" i="126" s="1"/>
  <c r="BS48" i="126"/>
  <c r="BC48" i="126"/>
  <c r="AM48" i="126"/>
  <c r="CE48" i="126"/>
  <c r="BO48" i="126"/>
  <c r="AY48" i="126"/>
  <c r="AI48" i="126"/>
  <c r="AT48" i="126"/>
  <c r="BL48" i="126"/>
  <c r="CD48" i="126"/>
  <c r="CM68" i="126"/>
  <c r="BW68" i="126"/>
  <c r="BG68" i="126"/>
  <c r="CF68" i="126"/>
  <c r="BO68" i="126"/>
  <c r="AX68" i="126"/>
  <c r="CS68" i="126"/>
  <c r="CB68" i="126"/>
  <c r="BK68" i="126"/>
  <c r="AT68" i="126"/>
  <c r="BB68" i="126"/>
  <c r="BU68" i="126"/>
  <c r="CO68" i="126"/>
  <c r="CQ83" i="126"/>
  <c r="CA83" i="126"/>
  <c r="BK83" i="126"/>
  <c r="AU83" i="126"/>
  <c r="CV83" i="126"/>
  <c r="CE83" i="126"/>
  <c r="BN83" i="126"/>
  <c r="AW83" i="126"/>
  <c r="CR83" i="126"/>
  <c r="BZ83" i="126"/>
  <c r="BI83" i="126"/>
  <c r="AR83" i="126"/>
  <c r="CL83" i="126"/>
  <c r="BS83" i="126"/>
  <c r="AZ83" i="126"/>
  <c r="CH83" i="126"/>
  <c r="BO83" i="126"/>
  <c r="AT83" i="126"/>
  <c r="BJ83" i="126"/>
  <c r="CG83" i="126"/>
  <c r="AD30" i="126"/>
  <c r="H30" i="126" s="1"/>
  <c r="AT30" i="126"/>
  <c r="BU36" i="126"/>
  <c r="BE36" i="126"/>
  <c r="AO36" i="126"/>
  <c r="Y36" i="126"/>
  <c r="AL36" i="126"/>
  <c r="BC36" i="126"/>
  <c r="BT36" i="126"/>
  <c r="AJ47" i="126"/>
  <c r="AF47" i="126"/>
  <c r="H47" i="126" s="1"/>
  <c r="AF48" i="126"/>
  <c r="AX48" i="126"/>
  <c r="BQ48" i="126"/>
  <c r="CJ48" i="126"/>
  <c r="CJ56" i="126"/>
  <c r="BT56" i="126"/>
  <c r="BD56" i="126"/>
  <c r="AN56" i="126"/>
  <c r="CF56" i="126"/>
  <c r="BP56" i="126"/>
  <c r="AZ56" i="126"/>
  <c r="AJ56" i="126"/>
  <c r="AW56" i="126"/>
  <c r="BO56" i="126"/>
  <c r="CH56" i="126"/>
  <c r="AN68" i="126"/>
  <c r="BF68" i="126"/>
  <c r="BZ68" i="126"/>
  <c r="CO69" i="126"/>
  <c r="BY69" i="126"/>
  <c r="BI69" i="126"/>
  <c r="AS69" i="126"/>
  <c r="CL69" i="126"/>
  <c r="BU69" i="126"/>
  <c r="BD69" i="126"/>
  <c r="AM69" i="126"/>
  <c r="CH69" i="126"/>
  <c r="BQ69" i="126"/>
  <c r="AZ69" i="126"/>
  <c r="BC69" i="126"/>
  <c r="BW69" i="126"/>
  <c r="CQ69" i="126"/>
  <c r="AS83" i="126"/>
  <c r="BQ83" i="126"/>
  <c r="CM83" i="126"/>
  <c r="H97" i="126"/>
  <c r="AY63" i="126"/>
  <c r="BO63" i="126"/>
  <c r="CE63" i="126"/>
  <c r="AS82" i="126"/>
  <c r="H82" i="126" s="1"/>
  <c r="AT82" i="126"/>
  <c r="CW86" i="126"/>
  <c r="CW127" i="126" s="1"/>
  <c r="CG86" i="126"/>
  <c r="BQ86" i="126"/>
  <c r="BA86" i="126"/>
  <c r="CV86" i="126"/>
  <c r="CF86" i="126"/>
  <c r="BP86" i="126"/>
  <c r="AZ86" i="126"/>
  <c r="CR86" i="126"/>
  <c r="BZ86" i="126"/>
  <c r="BH86" i="126"/>
  <c r="AP86" i="126"/>
  <c r="CQ86" i="126"/>
  <c r="BX86" i="126"/>
  <c r="BE86" i="126"/>
  <c r="CM86" i="126"/>
  <c r="BT86" i="126"/>
  <c r="AY86" i="126"/>
  <c r="BJ86" i="126"/>
  <c r="CE86" i="126"/>
  <c r="AX100" i="126"/>
  <c r="AY100" i="126" s="1"/>
  <c r="AZ100" i="126" s="1"/>
  <c r="BA100" i="126" s="1"/>
  <c r="BB100" i="126" s="1"/>
  <c r="BC100" i="126" s="1"/>
  <c r="BD100" i="126" s="1"/>
  <c r="BE100" i="126" s="1"/>
  <c r="BF100" i="126" s="1"/>
  <c r="BG100" i="126" s="1"/>
  <c r="BH100" i="126" s="1"/>
  <c r="AW100" i="126"/>
  <c r="H100" i="126" s="1"/>
  <c r="AM63" i="126"/>
  <c r="BC63" i="126"/>
  <c r="BS63" i="126"/>
  <c r="AU82" i="126"/>
  <c r="AS86" i="126"/>
  <c r="BN86" i="126"/>
  <c r="CK86" i="126"/>
  <c r="CU85" i="126"/>
  <c r="CE85" i="126"/>
  <c r="CT85" i="126"/>
  <c r="CD85" i="126"/>
  <c r="BN85" i="126"/>
  <c r="CH85" i="126"/>
  <c r="BP85" i="126"/>
  <c r="AY85" i="126"/>
  <c r="BE85" i="126"/>
  <c r="BW85" i="126"/>
  <c r="CP85" i="126"/>
  <c r="CL90" i="126"/>
  <c r="BV90" i="126"/>
  <c r="BF90" i="126"/>
  <c r="CR90" i="126"/>
  <c r="CA90" i="126"/>
  <c r="BJ90" i="126"/>
  <c r="AS90" i="126"/>
  <c r="H90" i="126" s="1"/>
  <c r="CQ90" i="126"/>
  <c r="BZ90" i="126"/>
  <c r="BI90" i="126"/>
  <c r="AR90" i="126"/>
  <c r="CT90" i="126"/>
  <c r="BY90" i="126"/>
  <c r="BE90" i="126"/>
  <c r="BL90" i="126"/>
  <c r="CF90" i="126"/>
  <c r="BE79" i="126"/>
  <c r="BU79" i="126"/>
  <c r="AR85" i="126"/>
  <c r="BI85" i="126"/>
  <c r="CA85" i="126"/>
  <c r="CV85" i="126"/>
  <c r="CV127" i="126" s="1"/>
  <c r="AV90" i="126"/>
  <c r="BP90" i="126"/>
  <c r="CJ90" i="126"/>
  <c r="H103" i="126"/>
  <c r="AV92" i="126"/>
  <c r="H92" i="126" s="1"/>
  <c r="BD92" i="126"/>
  <c r="BC92" i="126"/>
  <c r="AE145" i="126"/>
  <c r="AI7" i="136" l="1"/>
  <c r="AJ3" i="136"/>
  <c r="E3" i="136"/>
  <c r="E5" i="136"/>
  <c r="T7" i="136"/>
  <c r="U2" i="136"/>
  <c r="I7" i="136"/>
  <c r="AF3" i="136"/>
  <c r="AE7" i="136"/>
  <c r="BM127" i="126"/>
  <c r="CW129" i="126"/>
  <c r="Y129" i="126"/>
  <c r="Y127" i="126"/>
  <c r="AE127" i="126"/>
  <c r="H9" i="126"/>
  <c r="H46" i="126"/>
  <c r="H22" i="126"/>
  <c r="H7" i="126"/>
  <c r="H86" i="126"/>
  <c r="CM127" i="126"/>
  <c r="BE129" i="126"/>
  <c r="BE127" i="126"/>
  <c r="H51" i="126"/>
  <c r="BM129" i="126"/>
  <c r="H85" i="126"/>
  <c r="H117" i="126"/>
  <c r="H54" i="126"/>
  <c r="CO127" i="126"/>
  <c r="BJ129" i="126"/>
  <c r="BJ127" i="126"/>
  <c r="L129" i="126"/>
  <c r="AF128" i="126"/>
  <c r="BD129" i="126"/>
  <c r="H50" i="126"/>
  <c r="H16" i="126"/>
  <c r="H78" i="126"/>
  <c r="K127" i="126"/>
  <c r="K132" i="126" s="1"/>
  <c r="L132" i="126" s="1"/>
  <c r="W127" i="126"/>
  <c r="H6" i="126"/>
  <c r="AI127" i="126"/>
  <c r="CP129" i="126"/>
  <c r="CP127" i="126"/>
  <c r="H11" i="126"/>
  <c r="BV127" i="126"/>
  <c r="AB129" i="126"/>
  <c r="AB127" i="126"/>
  <c r="H58" i="126"/>
  <c r="AI128" i="126"/>
  <c r="X127" i="126"/>
  <c r="AU129" i="126"/>
  <c r="H75" i="126"/>
  <c r="H29" i="126"/>
  <c r="AP128" i="126"/>
  <c r="BR127" i="126"/>
  <c r="CG127" i="126"/>
  <c r="CG129" i="126"/>
  <c r="H33" i="126"/>
  <c r="BO128" i="126"/>
  <c r="BP118" i="126"/>
  <c r="BP128" i="126" s="1"/>
  <c r="AX127" i="126"/>
  <c r="H39" i="126"/>
  <c r="BN127" i="126"/>
  <c r="S129" i="126"/>
  <c r="AL129" i="126"/>
  <c r="H68" i="126"/>
  <c r="AN128" i="126"/>
  <c r="BZ127" i="126"/>
  <c r="AW129" i="126"/>
  <c r="AL128" i="126"/>
  <c r="Z128" i="126"/>
  <c r="H8" i="126"/>
  <c r="P127" i="126"/>
  <c r="AG129" i="126"/>
  <c r="BO127" i="126"/>
  <c r="K128" i="126"/>
  <c r="CI129" i="126"/>
  <c r="AC128" i="126"/>
  <c r="AP129" i="126"/>
  <c r="CN127" i="126"/>
  <c r="CY129" i="126"/>
  <c r="CY127" i="126"/>
  <c r="CZ108" i="126"/>
  <c r="BP127" i="126"/>
  <c r="BP129" i="126"/>
  <c r="K133" i="126"/>
  <c r="L3" i="126"/>
  <c r="BF93" i="126"/>
  <c r="BF128" i="126" s="1"/>
  <c r="BE128" i="126"/>
  <c r="CO129" i="126"/>
  <c r="BB127" i="126"/>
  <c r="H89" i="126"/>
  <c r="AO127" i="126"/>
  <c r="AO129" i="126"/>
  <c r="BX127" i="126"/>
  <c r="H44" i="126"/>
  <c r="AF129" i="126"/>
  <c r="BQ127" i="126"/>
  <c r="BS128" i="126"/>
  <c r="BT123" i="126"/>
  <c r="AV129" i="126"/>
  <c r="H55" i="126"/>
  <c r="H52" i="126"/>
  <c r="DJ129" i="126"/>
  <c r="DK119" i="126"/>
  <c r="DJ127" i="126"/>
  <c r="K129" i="126"/>
  <c r="AH128" i="126"/>
  <c r="H80" i="126"/>
  <c r="AN129" i="126"/>
  <c r="H76" i="126"/>
  <c r="BU127" i="126"/>
  <c r="DO127" i="126"/>
  <c r="DO129" i="126"/>
  <c r="CH129" i="126"/>
  <c r="CH127" i="126"/>
  <c r="AT129" i="126"/>
  <c r="AT127" i="126"/>
  <c r="Z129" i="126"/>
  <c r="Z127" i="126"/>
  <c r="CT129" i="126"/>
  <c r="AJ128" i="126"/>
  <c r="H18" i="126"/>
  <c r="H66" i="126"/>
  <c r="AO128" i="126"/>
  <c r="H4" i="126"/>
  <c r="AK128" i="126"/>
  <c r="AJ127" i="126"/>
  <c r="H63" i="126"/>
  <c r="J127" i="126"/>
  <c r="J132" i="126" s="1"/>
  <c r="J133" i="126" s="1"/>
  <c r="J129" i="126"/>
  <c r="H84" i="126"/>
  <c r="AU128" i="126"/>
  <c r="AE128" i="126"/>
  <c r="BC128" i="126"/>
  <c r="CE129" i="126"/>
  <c r="CE127" i="126"/>
  <c r="BD128" i="126"/>
  <c r="H60" i="126"/>
  <c r="H111" i="126"/>
  <c r="CD129" i="126"/>
  <c r="H21" i="126"/>
  <c r="BI127" i="126"/>
  <c r="BI129" i="126"/>
  <c r="H13" i="126"/>
  <c r="CI127" i="126"/>
  <c r="H15" i="126"/>
  <c r="AW128" i="126"/>
  <c r="AG128" i="126"/>
  <c r="CF129" i="126"/>
  <c r="CF127" i="126"/>
  <c r="BJ106" i="126"/>
  <c r="BI128" i="126"/>
  <c r="H38" i="126"/>
  <c r="BY129" i="126"/>
  <c r="BY127" i="126"/>
  <c r="H62" i="126"/>
  <c r="BW127" i="126"/>
  <c r="BL127" i="126"/>
  <c r="BL129" i="126"/>
  <c r="W128" i="126"/>
  <c r="BF129" i="126"/>
  <c r="H53" i="126"/>
  <c r="DI127" i="126"/>
  <c r="DI129" i="126"/>
  <c r="H24" i="126"/>
  <c r="AA127" i="126"/>
  <c r="AS127" i="126"/>
  <c r="AQ129" i="126"/>
  <c r="AQ127" i="126"/>
  <c r="U127" i="126"/>
  <c r="AQ128" i="126"/>
  <c r="H20" i="126"/>
  <c r="BG127" i="126"/>
  <c r="H83" i="126"/>
  <c r="BR121" i="126"/>
  <c r="BR128" i="126" s="1"/>
  <c r="BQ128" i="126"/>
  <c r="CQ127" i="126"/>
  <c r="CQ129" i="126"/>
  <c r="CA127" i="126"/>
  <c r="Q129" i="126"/>
  <c r="Q127" i="126"/>
  <c r="O127" i="126"/>
  <c r="R128" i="126"/>
  <c r="BV129" i="126"/>
  <c r="H36" i="126"/>
  <c r="H59" i="126"/>
  <c r="H81" i="126"/>
  <c r="H91" i="126"/>
  <c r="H19" i="126"/>
  <c r="AH129" i="126"/>
  <c r="AH127" i="126"/>
  <c r="CB129" i="126"/>
  <c r="CB127" i="126"/>
  <c r="BS129" i="126"/>
  <c r="BS127" i="126"/>
  <c r="CM129" i="126"/>
  <c r="J128" i="126"/>
  <c r="H12" i="126"/>
  <c r="H49" i="126"/>
  <c r="M127" i="126"/>
  <c r="AR128" i="126"/>
  <c r="CK127" i="126"/>
  <c r="AX128" i="126"/>
  <c r="AV128" i="126"/>
  <c r="CX129" i="126"/>
  <c r="H118" i="126"/>
  <c r="BG128" i="126"/>
  <c r="BH99" i="126"/>
  <c r="BH128" i="126" s="1"/>
  <c r="AD128" i="126"/>
  <c r="H87" i="126"/>
  <c r="AR129" i="126"/>
  <c r="AR127" i="126"/>
  <c r="H41" i="126"/>
  <c r="AY128" i="126"/>
  <c r="AM128" i="126"/>
  <c r="H56" i="126"/>
  <c r="H10" i="126"/>
  <c r="CS129" i="126"/>
  <c r="CS127" i="126"/>
  <c r="CX127" i="126"/>
  <c r="BL128" i="126"/>
  <c r="BM112" i="126"/>
  <c r="BM128" i="126" s="1"/>
  <c r="BB128" i="126"/>
  <c r="H121" i="126"/>
  <c r="H69" i="126"/>
  <c r="H42" i="126"/>
  <c r="AY129" i="126"/>
  <c r="AY127" i="126"/>
  <c r="H35" i="126"/>
  <c r="H71" i="126"/>
  <c r="CJ127" i="126"/>
  <c r="H65" i="126"/>
  <c r="AK3" i="136" l="1"/>
  <c r="AJ7" i="136"/>
  <c r="AF7" i="136"/>
  <c r="J7" i="136"/>
  <c r="U7" i="136"/>
  <c r="V2" i="136"/>
  <c r="L133" i="126"/>
  <c r="M3" i="126"/>
  <c r="H112" i="126"/>
  <c r="BH127" i="126"/>
  <c r="H99" i="126"/>
  <c r="H93" i="126"/>
  <c r="M132" i="126"/>
  <c r="N132" i="126" s="1"/>
  <c r="BJ128" i="126"/>
  <c r="BK106" i="126"/>
  <c r="H106" i="126"/>
  <c r="DK129" i="126"/>
  <c r="DK127" i="126"/>
  <c r="DL119" i="126"/>
  <c r="BT128" i="126"/>
  <c r="H123" i="126"/>
  <c r="DA108" i="126"/>
  <c r="CZ127" i="126"/>
  <c r="CZ129" i="126"/>
  <c r="BF127" i="126"/>
  <c r="BT127" i="126"/>
  <c r="O132" i="126"/>
  <c r="P132" i="126" s="1"/>
  <c r="Q132" i="126" s="1"/>
  <c r="R132" i="126" s="1"/>
  <c r="S132" i="126" s="1"/>
  <c r="T132" i="126" s="1"/>
  <c r="U132" i="126" s="1"/>
  <c r="V132" i="126" s="1"/>
  <c r="W132" i="126" s="1"/>
  <c r="X132" i="126" s="1"/>
  <c r="Y132" i="126" s="1"/>
  <c r="Z132" i="126" s="1"/>
  <c r="AA132" i="126" s="1"/>
  <c r="AB132" i="126" s="1"/>
  <c r="AC132" i="126" s="1"/>
  <c r="AD132" i="126" s="1"/>
  <c r="AE132" i="126" s="1"/>
  <c r="AF132" i="126" s="1"/>
  <c r="AG132" i="126" s="1"/>
  <c r="AH132" i="126" s="1"/>
  <c r="AI132" i="126" s="1"/>
  <c r="AJ132" i="126" s="1"/>
  <c r="AK132" i="126" s="1"/>
  <c r="AL132" i="126" s="1"/>
  <c r="AM132" i="126" s="1"/>
  <c r="AN132" i="126" s="1"/>
  <c r="AO132" i="126" s="1"/>
  <c r="AP132" i="126" s="1"/>
  <c r="AQ132" i="126" s="1"/>
  <c r="AR132" i="126" s="1"/>
  <c r="AS132" i="126" s="1"/>
  <c r="AT132" i="126" s="1"/>
  <c r="AU132" i="126" s="1"/>
  <c r="AV132" i="126" s="1"/>
  <c r="AW132" i="126" s="1"/>
  <c r="AX132" i="126" s="1"/>
  <c r="AY132" i="126" s="1"/>
  <c r="AZ132" i="126" s="1"/>
  <c r="BA132" i="126" s="1"/>
  <c r="BB132" i="126" s="1"/>
  <c r="BC132" i="126" s="1"/>
  <c r="BD132" i="126" s="1"/>
  <c r="BE132" i="126" s="1"/>
  <c r="AL3" i="136" l="1"/>
  <c r="AK7" i="136"/>
  <c r="V7" i="136"/>
  <c r="W2" i="136"/>
  <c r="K7" i="136"/>
  <c r="DL129" i="126"/>
  <c r="DM119" i="126"/>
  <c r="DL127" i="126"/>
  <c r="M133" i="126"/>
  <c r="N3" i="126"/>
  <c r="DB108" i="126"/>
  <c r="DA129" i="126"/>
  <c r="DA127" i="126"/>
  <c r="BF132" i="126"/>
  <c r="BG132" i="126" s="1"/>
  <c r="BH132" i="126" s="1"/>
  <c r="BI132" i="126" s="1"/>
  <c r="BJ132" i="126" s="1"/>
  <c r="BK128" i="126"/>
  <c r="BK127" i="126"/>
  <c r="AL7" i="136" l="1"/>
  <c r="AM3" i="136"/>
  <c r="X2" i="136"/>
  <c r="W7" i="136"/>
  <c r="L7" i="136"/>
  <c r="BK132" i="126"/>
  <c r="BL132" i="126" s="1"/>
  <c r="BM132" i="126" s="1"/>
  <c r="BN132" i="126" s="1"/>
  <c r="BO132" i="126" s="1"/>
  <c r="BP132" i="126" s="1"/>
  <c r="BQ132" i="126" s="1"/>
  <c r="BR132" i="126" s="1"/>
  <c r="BS132" i="126" s="1"/>
  <c r="BT132" i="126" s="1"/>
  <c r="BU132" i="126" s="1"/>
  <c r="BV132" i="126" s="1"/>
  <c r="BW132" i="126" s="1"/>
  <c r="BX132" i="126" s="1"/>
  <c r="BY132" i="126" s="1"/>
  <c r="BZ132" i="126" s="1"/>
  <c r="CA132" i="126" s="1"/>
  <c r="CB132" i="126" s="1"/>
  <c r="CC132" i="126" s="1"/>
  <c r="CD132" i="126" s="1"/>
  <c r="CE132" i="126" s="1"/>
  <c r="CF132" i="126" s="1"/>
  <c r="CG132" i="126" s="1"/>
  <c r="CH132" i="126" s="1"/>
  <c r="CI132" i="126" s="1"/>
  <c r="CJ132" i="126" s="1"/>
  <c r="CK132" i="126" s="1"/>
  <c r="CL132" i="126" s="1"/>
  <c r="CM132" i="126" s="1"/>
  <c r="CN132" i="126" s="1"/>
  <c r="CO132" i="126" s="1"/>
  <c r="CP132" i="126" s="1"/>
  <c r="CQ132" i="126" s="1"/>
  <c r="CR132" i="126" s="1"/>
  <c r="CS132" i="126" s="1"/>
  <c r="CT132" i="126" s="1"/>
  <c r="CU132" i="126" s="1"/>
  <c r="CV132" i="126" s="1"/>
  <c r="CW132" i="126" s="1"/>
  <c r="CX132" i="126" s="1"/>
  <c r="CY132" i="126" s="1"/>
  <c r="CZ132" i="126" s="1"/>
  <c r="DA132" i="126" s="1"/>
  <c r="DB129" i="126"/>
  <c r="DC108" i="126"/>
  <c r="DB127" i="126"/>
  <c r="N133" i="126"/>
  <c r="O3" i="126"/>
  <c r="DM129" i="126"/>
  <c r="DM127" i="126"/>
  <c r="H119" i="126"/>
  <c r="AM7" i="136" l="1"/>
  <c r="AN3" i="136"/>
  <c r="M7" i="136"/>
  <c r="X7" i="136"/>
  <c r="Y2" i="136"/>
  <c r="DB132" i="126"/>
  <c r="DD108" i="126"/>
  <c r="DC127" i="126"/>
  <c r="DC132" i="126" s="1"/>
  <c r="DC129" i="126"/>
  <c r="O133" i="126"/>
  <c r="P3" i="126"/>
  <c r="AN7" i="136" l="1"/>
  <c r="AO3" i="136"/>
  <c r="Y7" i="136"/>
  <c r="Z2" i="136"/>
  <c r="N7" i="136"/>
  <c r="P133" i="126"/>
  <c r="Q3" i="126"/>
  <c r="DD129" i="126"/>
  <c r="DD127" i="126"/>
  <c r="DD132" i="126" s="1"/>
  <c r="DE108" i="126"/>
  <c r="AP3" i="136" l="1"/>
  <c r="AP7" i="136" s="1"/>
  <c r="AO7" i="136"/>
  <c r="O7" i="136"/>
  <c r="Z7" i="136"/>
  <c r="AA2" i="136"/>
  <c r="DE127" i="126"/>
  <c r="DE132" i="126" s="1"/>
  <c r="DE129" i="126"/>
  <c r="DF108" i="126"/>
  <c r="Q133" i="126"/>
  <c r="R3" i="126"/>
  <c r="AA7" i="136" l="1"/>
  <c r="AB2" i="136"/>
  <c r="P7" i="136"/>
  <c r="R133" i="126"/>
  <c r="S3" i="126"/>
  <c r="DF127" i="126"/>
  <c r="DF132" i="126" s="1"/>
  <c r="DF129" i="126"/>
  <c r="DG108" i="126"/>
  <c r="Q7" i="136" l="1"/>
  <c r="AB7" i="136"/>
  <c r="AC2" i="136"/>
  <c r="S133" i="126"/>
  <c r="T3" i="126"/>
  <c r="DG129" i="126"/>
  <c r="DH108" i="126"/>
  <c r="DG127" i="126"/>
  <c r="DG132" i="126" s="1"/>
  <c r="AC7" i="136" l="1"/>
  <c r="AD2" i="136"/>
  <c r="R7" i="136"/>
  <c r="T133" i="126"/>
  <c r="U3" i="126"/>
  <c r="DH127" i="126"/>
  <c r="DH132" i="126" s="1"/>
  <c r="DI132" i="126" s="1"/>
  <c r="DJ132" i="126" s="1"/>
  <c r="DK132" i="126" s="1"/>
  <c r="DL132" i="126" s="1"/>
  <c r="DM132" i="126" s="1"/>
  <c r="DN132" i="126" s="1"/>
  <c r="DO132" i="126" s="1"/>
  <c r="DP132" i="126" s="1"/>
  <c r="DH129" i="126"/>
  <c r="H108" i="126"/>
  <c r="AD7" i="136" l="1"/>
  <c r="E2" i="136"/>
  <c r="E7" i="136" s="1"/>
  <c r="E12" i="136" s="1"/>
  <c r="E14" i="136" s="1"/>
  <c r="U133" i="126"/>
  <c r="V3" i="126"/>
  <c r="V133" i="126" l="1"/>
  <c r="W3" i="126"/>
  <c r="W133" i="126" l="1"/>
  <c r="X3" i="126"/>
  <c r="X133" i="126" l="1"/>
  <c r="Y3" i="126"/>
  <c r="Y133" i="126" l="1"/>
  <c r="Z3" i="126"/>
  <c r="Z133" i="126" l="1"/>
  <c r="AA3" i="126"/>
  <c r="AB3" i="126" l="1"/>
  <c r="AA133" i="126"/>
  <c r="AB133" i="126" l="1"/>
  <c r="AC3" i="126"/>
  <c r="AD3" i="126" l="1"/>
  <c r="AC133" i="126"/>
  <c r="AD133" i="126" l="1"/>
  <c r="AE3" i="126"/>
  <c r="AE133" i="126" l="1"/>
  <c r="AF3" i="126"/>
  <c r="AF133" i="126" l="1"/>
  <c r="AG3" i="126"/>
  <c r="AG133" i="126" l="1"/>
  <c r="AH3" i="126"/>
  <c r="AH133" i="126" l="1"/>
  <c r="AI3" i="126"/>
  <c r="AI133" i="126" l="1"/>
  <c r="AJ3" i="126"/>
  <c r="AJ133" i="126" l="1"/>
  <c r="AK3" i="126"/>
  <c r="AK133" i="126" l="1"/>
  <c r="AL3" i="126"/>
  <c r="AL133" i="126" l="1"/>
  <c r="AM3" i="126"/>
  <c r="AM133" i="126" l="1"/>
  <c r="AN3" i="126"/>
  <c r="AN133" i="126" l="1"/>
  <c r="AO3" i="126"/>
  <c r="AO133" i="126" l="1"/>
  <c r="AP3" i="126"/>
  <c r="AP133" i="126" l="1"/>
  <c r="AQ3" i="126"/>
  <c r="AQ133" i="126" l="1"/>
  <c r="AR3" i="126"/>
  <c r="AR133" i="126" l="1"/>
  <c r="AS3" i="126"/>
  <c r="AS133" i="126" l="1"/>
  <c r="AT3" i="126"/>
  <c r="AT133" i="126" l="1"/>
  <c r="AU3" i="126"/>
  <c r="AU133" i="126" l="1"/>
  <c r="AV3" i="126"/>
  <c r="AV133" i="126" l="1"/>
  <c r="AW3" i="126"/>
  <c r="AW133" i="126" l="1"/>
  <c r="AW134" i="126" s="1"/>
  <c r="AX3" i="126"/>
  <c r="AX133" i="126" l="1"/>
  <c r="AY3" i="126"/>
  <c r="AY133" i="126" l="1"/>
  <c r="AZ3" i="126"/>
  <c r="AZ133" i="126" l="1"/>
  <c r="BA3" i="126"/>
  <c r="BA133" i="126" l="1"/>
  <c r="BB3" i="126"/>
  <c r="BB133" i="126" l="1"/>
  <c r="BC3" i="126"/>
  <c r="BC133" i="126" l="1"/>
  <c r="BD3" i="126"/>
  <c r="BD133" i="126" l="1"/>
  <c r="BE3" i="126"/>
  <c r="BE133" i="126" l="1"/>
  <c r="BF3" i="126"/>
  <c r="BF133" i="126" l="1"/>
  <c r="BG3" i="126"/>
  <c r="BG133" i="126" l="1"/>
  <c r="BH3" i="126"/>
  <c r="BH133" i="126" l="1"/>
  <c r="BI3" i="126"/>
  <c r="BI133" i="126" l="1"/>
  <c r="BJ3" i="126"/>
  <c r="BJ133" i="126" l="1"/>
  <c r="BK3" i="126"/>
  <c r="BK133" i="126" l="1"/>
  <c r="BL3" i="126"/>
  <c r="BL133" i="126" l="1"/>
  <c r="BM3" i="126"/>
  <c r="BM133" i="126" l="1"/>
  <c r="BN3" i="126"/>
  <c r="BN133" i="126" l="1"/>
  <c r="BO3" i="126"/>
  <c r="BO133" i="126" l="1"/>
  <c r="BP3" i="126"/>
  <c r="BP133" i="126" l="1"/>
  <c r="BQ3" i="126"/>
  <c r="BQ133" i="126" l="1"/>
  <c r="BR3" i="126"/>
  <c r="BR133" i="126" l="1"/>
  <c r="BS3" i="126"/>
  <c r="BS133" i="126" l="1"/>
  <c r="BT3" i="126"/>
  <c r="BT133" i="126" l="1"/>
  <c r="BU3" i="126"/>
  <c r="BU133" i="126" l="1"/>
  <c r="BV3" i="126"/>
  <c r="BV133" i="126" l="1"/>
  <c r="BW3" i="126"/>
  <c r="BW133" i="126" l="1"/>
  <c r="BX3" i="126"/>
  <c r="BX133" i="126" l="1"/>
  <c r="BY3" i="126"/>
  <c r="BY133" i="126" l="1"/>
  <c r="BZ3" i="126"/>
  <c r="BZ133" i="126" l="1"/>
  <c r="CA3" i="126"/>
  <c r="CA133" i="126" l="1"/>
  <c r="CB3" i="126"/>
  <c r="CB133" i="126" l="1"/>
  <c r="CC3" i="126"/>
  <c r="CC133" i="126" l="1"/>
  <c r="CD3" i="126"/>
  <c r="CD133" i="126" l="1"/>
  <c r="CE3" i="126"/>
  <c r="CE133" i="126" l="1"/>
  <c r="CF3" i="126"/>
  <c r="CF133" i="126" l="1"/>
  <c r="CG3" i="126"/>
  <c r="CG133" i="126" l="1"/>
  <c r="CH3" i="126"/>
  <c r="CH133" i="126" l="1"/>
  <c r="CI3" i="126"/>
  <c r="CI133" i="126" l="1"/>
  <c r="CJ3" i="126"/>
  <c r="CJ133" i="126" l="1"/>
  <c r="CK3" i="126"/>
  <c r="CK133" i="126" l="1"/>
  <c r="CL3" i="126"/>
  <c r="CL133" i="126" l="1"/>
  <c r="CM3" i="126"/>
  <c r="CM133" i="126" l="1"/>
  <c r="CN3" i="126"/>
  <c r="CN133" i="126" l="1"/>
  <c r="CO3" i="126"/>
  <c r="CO133" i="126" l="1"/>
  <c r="CP3" i="126"/>
  <c r="CP133" i="126" l="1"/>
  <c r="CQ3" i="126"/>
  <c r="CQ133" i="126" l="1"/>
  <c r="CR3" i="126"/>
  <c r="CR133" i="126" l="1"/>
  <c r="CS3" i="126"/>
  <c r="CS133" i="126" l="1"/>
  <c r="CT3" i="126"/>
  <c r="CT133" i="126" l="1"/>
  <c r="CU3" i="126"/>
  <c r="CU133" i="126" l="1"/>
  <c r="CV3" i="126"/>
  <c r="CV133" i="126" l="1"/>
  <c r="CW3" i="126"/>
  <c r="CW133" i="126" l="1"/>
  <c r="CX3" i="126"/>
  <c r="CX133" i="126" l="1"/>
  <c r="CY3" i="126"/>
  <c r="CY133" i="126" l="1"/>
  <c r="CZ3" i="126"/>
  <c r="CZ133" i="126" l="1"/>
  <c r="DA3" i="126"/>
  <c r="DA133" i="126" l="1"/>
  <c r="DB3" i="126"/>
  <c r="DB133" i="126" l="1"/>
  <c r="DC3" i="126"/>
  <c r="DC133" i="126" l="1"/>
  <c r="DD3" i="126"/>
  <c r="DD133" i="126" l="1"/>
  <c r="DE3" i="126"/>
  <c r="DE133" i="126" l="1"/>
  <c r="DF3" i="126"/>
  <c r="DF133" i="126" l="1"/>
  <c r="DG3" i="126"/>
  <c r="DG133" i="126" l="1"/>
  <c r="DH3" i="126"/>
  <c r="DH133" i="126" l="1"/>
  <c r="DI3" i="126"/>
  <c r="DI133" i="126" l="1"/>
  <c r="DJ3" i="126"/>
  <c r="DJ133" i="126" l="1"/>
  <c r="DK3" i="126"/>
  <c r="DK133" i="126" l="1"/>
  <c r="DL3" i="126"/>
  <c r="DM3" i="126" l="1"/>
  <c r="DL133" i="126"/>
  <c r="DN3" i="126" l="1"/>
  <c r="DM133" i="126"/>
  <c r="DO3" i="126" l="1"/>
  <c r="DN133" i="126"/>
  <c r="DP3" i="126" l="1"/>
  <c r="DP133" i="126" s="1"/>
  <c r="DO133" i="126"/>
  <c r="B43" i="58" l="1"/>
  <c r="H43" i="58" s="1"/>
  <c r="I43" i="58"/>
  <c r="D19" i="131"/>
  <c r="D20" i="132"/>
  <c r="D19" i="132"/>
  <c r="G17" i="132"/>
  <c r="G17" i="131"/>
  <c r="G60" i="118"/>
  <c r="H21" i="102"/>
  <c r="E21" i="102"/>
  <c r="AC9" i="112"/>
  <c r="AE12" i="112"/>
  <c r="AF12" i="112" s="1"/>
  <c r="AB11" i="112"/>
  <c r="AG13" i="112"/>
  <c r="AG10" i="112"/>
  <c r="AG9" i="112"/>
  <c r="AG7" i="112"/>
  <c r="AG6" i="112"/>
  <c r="AG5" i="112"/>
  <c r="AG3" i="112"/>
  <c r="AG2" i="112"/>
  <c r="B45" i="135"/>
  <c r="B44" i="135"/>
  <c r="B43" i="135"/>
  <c r="B42" i="135"/>
  <c r="B41" i="135"/>
  <c r="B40" i="135"/>
  <c r="B39" i="135"/>
  <c r="B38" i="135"/>
  <c r="B37" i="135"/>
  <c r="B36" i="135"/>
  <c r="A45" i="135"/>
  <c r="F33" i="135"/>
  <c r="D36" i="135" s="1"/>
  <c r="B7" i="135"/>
  <c r="C5" i="135"/>
  <c r="C4" i="135"/>
  <c r="C7" i="135" s="1"/>
  <c r="G43" i="58" l="1"/>
  <c r="AG12" i="112"/>
  <c r="C36" i="135"/>
  <c r="D4" i="135"/>
  <c r="H36" i="135" s="1"/>
  <c r="D5" i="135"/>
  <c r="E5" i="135" l="1"/>
  <c r="F5" i="135" s="1"/>
  <c r="S33" i="135"/>
  <c r="L16" i="135"/>
  <c r="K16" i="135"/>
  <c r="M16" i="135" s="1"/>
  <c r="F36" i="135"/>
  <c r="K36" i="135"/>
  <c r="G36" i="135"/>
  <c r="L15" i="135"/>
  <c r="K15" i="135"/>
  <c r="M15" i="135" s="1"/>
  <c r="R33" i="135"/>
  <c r="E4" i="135"/>
  <c r="F4" i="135" s="1"/>
  <c r="L36" i="135"/>
  <c r="K10" i="135" l="1"/>
  <c r="J34" i="135" s="1"/>
  <c r="J36" i="135" s="1"/>
  <c r="B10" i="135"/>
  <c r="B11" i="135" s="1"/>
  <c r="R36" i="135"/>
  <c r="R37" i="135"/>
  <c r="D37" i="135"/>
  <c r="S36" i="135"/>
  <c r="S37" i="135"/>
  <c r="K11" i="135"/>
  <c r="E10" i="135"/>
  <c r="E11" i="135" l="1"/>
  <c r="S39" i="135"/>
  <c r="R39" i="135"/>
  <c r="B16" i="135"/>
  <c r="B22" i="135"/>
  <c r="B20" i="135"/>
  <c r="B15" i="135"/>
  <c r="B19" i="135"/>
  <c r="B14" i="135"/>
  <c r="B21" i="135"/>
  <c r="B18" i="135"/>
  <c r="B13" i="135"/>
  <c r="B17" i="135"/>
  <c r="B24" i="135"/>
  <c r="B23" i="135"/>
  <c r="H37" i="135"/>
  <c r="L37" i="135"/>
  <c r="C37" i="135"/>
  <c r="B26" i="135" l="1"/>
  <c r="N36" i="135"/>
  <c r="C24" i="58"/>
  <c r="G37" i="135"/>
  <c r="J37" i="135" s="1"/>
  <c r="K37" i="135"/>
  <c r="N37" i="135" s="1"/>
  <c r="C31" i="135"/>
  <c r="F37" i="135"/>
  <c r="E22" i="135"/>
  <c r="E21" i="135"/>
  <c r="E20" i="135"/>
  <c r="E15" i="135"/>
  <c r="E19" i="135"/>
  <c r="E14" i="135"/>
  <c r="E16" i="135"/>
  <c r="E18" i="135"/>
  <c r="E13" i="135"/>
  <c r="E26" i="135" s="1"/>
  <c r="E17" i="135"/>
  <c r="E24" i="135"/>
  <c r="E23" i="135"/>
  <c r="D38" i="135" l="1"/>
  <c r="L38" i="135" l="1"/>
  <c r="H38" i="135"/>
  <c r="C38" i="135"/>
  <c r="K38" i="135" l="1"/>
  <c r="N38" i="135" s="1"/>
  <c r="G38" i="135"/>
  <c r="J38" i="135" s="1"/>
  <c r="F38" i="135"/>
  <c r="D39" i="135" l="1"/>
  <c r="L39" i="135" l="1"/>
  <c r="H39" i="135"/>
  <c r="C39" i="135"/>
  <c r="K39" i="135" l="1"/>
  <c r="N39" i="135" s="1"/>
  <c r="G39" i="135"/>
  <c r="J39" i="135" s="1"/>
  <c r="F39" i="135"/>
  <c r="D40" i="135" l="1"/>
  <c r="L40" i="135" l="1"/>
  <c r="H40" i="135"/>
  <c r="C40" i="135"/>
  <c r="K40" i="135" l="1"/>
  <c r="N40" i="135" s="1"/>
  <c r="G40" i="135"/>
  <c r="J40" i="135" s="1"/>
  <c r="F40" i="135"/>
  <c r="D41" i="135" l="1"/>
  <c r="H41" i="135" l="1"/>
  <c r="L41" i="135"/>
  <c r="C41" i="135"/>
  <c r="G41" i="135" l="1"/>
  <c r="J41" i="135" s="1"/>
  <c r="K41" i="135"/>
  <c r="N41" i="135" s="1"/>
  <c r="F41" i="135"/>
  <c r="D42" i="135" l="1"/>
  <c r="L42" i="135" l="1"/>
  <c r="H42" i="135"/>
  <c r="C42" i="135"/>
  <c r="K42" i="135" l="1"/>
  <c r="N42" i="135" s="1"/>
  <c r="G42" i="135"/>
  <c r="J42" i="135" s="1"/>
  <c r="F42" i="135"/>
  <c r="D43" i="135" l="1"/>
  <c r="L43" i="135" l="1"/>
  <c r="H43" i="135"/>
  <c r="C43" i="135"/>
  <c r="K43" i="135" l="1"/>
  <c r="N43" i="135" s="1"/>
  <c r="G43" i="135"/>
  <c r="J43" i="135" s="1"/>
  <c r="F43" i="135"/>
  <c r="D44" i="135" l="1"/>
  <c r="L44" i="135" l="1"/>
  <c r="H44" i="135"/>
  <c r="C44" i="135"/>
  <c r="G44" i="135" l="1"/>
  <c r="J44" i="135" s="1"/>
  <c r="K44" i="135"/>
  <c r="N44" i="135" s="1"/>
  <c r="F44" i="135"/>
  <c r="D45" i="135" l="1"/>
  <c r="L45" i="135" l="1"/>
  <c r="H45" i="135"/>
  <c r="C45" i="135"/>
  <c r="K45" i="135" l="1"/>
  <c r="N45" i="135" s="1"/>
  <c r="G45" i="135"/>
  <c r="J45" i="135" s="1"/>
  <c r="F45" i="135"/>
  <c r="C11" i="112" l="1"/>
  <c r="I44" i="125"/>
  <c r="M44" i="125"/>
  <c r="N44" i="125"/>
  <c r="J44" i="125"/>
  <c r="C48" i="125"/>
  <c r="C47" i="125"/>
  <c r="B48" i="125"/>
  <c r="B47" i="125"/>
  <c r="E44" i="125"/>
  <c r="H43" i="125"/>
  <c r="C43" i="125"/>
  <c r="K43" i="125" s="1"/>
  <c r="B43" i="125"/>
  <c r="G43" i="125" l="1"/>
  <c r="Q34" i="125"/>
  <c r="G16" i="132"/>
  <c r="G59" i="118"/>
  <c r="I9" i="129"/>
  <c r="E20" i="102"/>
  <c r="H20" i="102" s="1"/>
  <c r="C43" i="132"/>
  <c r="D16" i="132"/>
  <c r="D15" i="132"/>
  <c r="G15" i="132"/>
  <c r="G58" i="118"/>
  <c r="J14" i="131" l="1"/>
  <c r="E19" i="102"/>
  <c r="H19" i="102" s="1"/>
  <c r="H16" i="102"/>
  <c r="E16" i="102"/>
  <c r="D14" i="132" l="1"/>
  <c r="G14" i="132"/>
  <c r="G57" i="118"/>
  <c r="H22" i="102"/>
  <c r="E18" i="102"/>
  <c r="H18" i="102" s="1"/>
  <c r="G13" i="132" l="1"/>
  <c r="G56" i="118"/>
  <c r="M16" i="113"/>
  <c r="J15" i="113"/>
  <c r="B8" i="122"/>
  <c r="E7" i="122"/>
  <c r="E6" i="122"/>
  <c r="E4" i="122"/>
  <c r="E17" i="102"/>
  <c r="H17" i="102" s="1"/>
  <c r="E15" i="102"/>
  <c r="H15" i="102" s="1"/>
  <c r="E14" i="102"/>
  <c r="H14" i="102" s="1"/>
  <c r="F36" i="58"/>
  <c r="F35" i="58"/>
  <c r="J16" i="113" l="1"/>
  <c r="J21" i="113"/>
  <c r="Z8" i="112"/>
  <c r="AA8" i="112" l="1"/>
  <c r="AB8" i="112" s="1"/>
  <c r="AC8" i="112" s="1"/>
  <c r="H40" i="58"/>
  <c r="H39" i="58"/>
  <c r="H33" i="58"/>
  <c r="H32" i="58"/>
  <c r="J22" i="129"/>
  <c r="K5" i="131"/>
  <c r="K5" i="132"/>
  <c r="G55" i="118"/>
  <c r="E13" i="102"/>
  <c r="H13" i="102" s="1"/>
  <c r="G41" i="3"/>
  <c r="G42" i="3" s="1"/>
  <c r="O12" i="3"/>
  <c r="AD8" i="112" l="1"/>
  <c r="O14" i="3"/>
  <c r="O45" i="3" s="1"/>
  <c r="AE8" i="112" l="1"/>
  <c r="G53" i="117"/>
  <c r="G54" i="118"/>
  <c r="E12" i="102"/>
  <c r="H12" i="102" s="1"/>
  <c r="AF8" i="112" l="1"/>
  <c r="AF14" i="112" s="1"/>
  <c r="AE14" i="112"/>
  <c r="AG8" i="112"/>
  <c r="C57" i="132"/>
  <c r="C56" i="132"/>
  <c r="C55" i="132"/>
  <c r="C54" i="132"/>
  <c r="C53" i="132"/>
  <c r="C52" i="132"/>
  <c r="C51" i="132"/>
  <c r="C50" i="132"/>
  <c r="C49" i="132"/>
  <c r="C48" i="132"/>
  <c r="C47" i="132"/>
  <c r="C46" i="132"/>
  <c r="C45" i="132"/>
  <c r="C44" i="132"/>
  <c r="C42" i="132"/>
  <c r="C41" i="132"/>
  <c r="C40" i="132"/>
  <c r="C39" i="132"/>
  <c r="C38" i="132"/>
  <c r="C37" i="132"/>
  <c r="C36" i="132"/>
  <c r="C35" i="132"/>
  <c r="C34" i="132"/>
  <c r="C33" i="132"/>
  <c r="C32" i="132"/>
  <c r="C31" i="132"/>
  <c r="C30" i="132"/>
  <c r="C29" i="132"/>
  <c r="C28" i="132"/>
  <c r="C27" i="132"/>
  <c r="C26" i="132"/>
  <c r="C25" i="132"/>
  <c r="C24" i="132"/>
  <c r="C23" i="132"/>
  <c r="C22" i="132"/>
  <c r="C21" i="132"/>
  <c r="C20" i="132"/>
  <c r="C19" i="132"/>
  <c r="C16" i="132"/>
  <c r="C15" i="132"/>
  <c r="C14" i="132"/>
  <c r="H12" i="132"/>
  <c r="H13" i="132" s="1"/>
  <c r="H14" i="132" s="1"/>
  <c r="H15" i="132" s="1"/>
  <c r="H16" i="132" s="1"/>
  <c r="H17" i="132" s="1"/>
  <c r="H18" i="132" s="1"/>
  <c r="H19" i="132" s="1"/>
  <c r="H20" i="132" s="1"/>
  <c r="H21" i="132" s="1"/>
  <c r="H22" i="132" s="1"/>
  <c r="H23" i="132" s="1"/>
  <c r="H24" i="132" s="1"/>
  <c r="H25" i="132" s="1"/>
  <c r="H26" i="132" s="1"/>
  <c r="H27" i="132" s="1"/>
  <c r="H28" i="132" s="1"/>
  <c r="H29" i="132" s="1"/>
  <c r="H30" i="132" s="1"/>
  <c r="H31" i="132" s="1"/>
  <c r="H32" i="132" s="1"/>
  <c r="H33" i="132" s="1"/>
  <c r="H34" i="132" s="1"/>
  <c r="H35" i="132" s="1"/>
  <c r="H36" i="132" s="1"/>
  <c r="H37" i="132" s="1"/>
  <c r="H38" i="132" s="1"/>
  <c r="H39" i="132" s="1"/>
  <c r="H40" i="132" s="1"/>
  <c r="H41" i="132" s="1"/>
  <c r="H42" i="132" s="1"/>
  <c r="H43" i="132" s="1"/>
  <c r="H44" i="132" s="1"/>
  <c r="H45" i="132" s="1"/>
  <c r="H46" i="132" s="1"/>
  <c r="H47" i="132" s="1"/>
  <c r="H48" i="132" s="1"/>
  <c r="H49" i="132" s="1"/>
  <c r="H50" i="132" s="1"/>
  <c r="H51" i="132" s="1"/>
  <c r="H52" i="132" s="1"/>
  <c r="H53" i="132" s="1"/>
  <c r="H54" i="132" s="1"/>
  <c r="H55" i="132" s="1"/>
  <c r="H56" i="132" s="1"/>
  <c r="H57" i="132" s="1"/>
  <c r="C12" i="132"/>
  <c r="H11" i="132"/>
  <c r="C11" i="132"/>
  <c r="A11" i="132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C10" i="132"/>
  <c r="F9" i="132"/>
  <c r="A4" i="132"/>
  <c r="C57" i="131"/>
  <c r="C56" i="131"/>
  <c r="C55" i="131"/>
  <c r="C54" i="131"/>
  <c r="C53" i="131"/>
  <c r="C52" i="131"/>
  <c r="C51" i="131"/>
  <c r="C50" i="131"/>
  <c r="C49" i="131"/>
  <c r="C48" i="131"/>
  <c r="C47" i="131"/>
  <c r="C46" i="131"/>
  <c r="C45" i="131"/>
  <c r="C44" i="131"/>
  <c r="C42" i="131"/>
  <c r="C41" i="131"/>
  <c r="C40" i="131"/>
  <c r="C39" i="131"/>
  <c r="C38" i="131"/>
  <c r="C37" i="131"/>
  <c r="C36" i="131"/>
  <c r="C35" i="131"/>
  <c r="C34" i="131"/>
  <c r="C33" i="131"/>
  <c r="C32" i="131"/>
  <c r="C31" i="131"/>
  <c r="C30" i="131"/>
  <c r="C29" i="131"/>
  <c r="C28" i="131"/>
  <c r="C27" i="131"/>
  <c r="C26" i="131"/>
  <c r="C25" i="131"/>
  <c r="C24" i="131"/>
  <c r="C23" i="131"/>
  <c r="C22" i="131"/>
  <c r="C21" i="131"/>
  <c r="C20" i="131"/>
  <c r="C19" i="131"/>
  <c r="C16" i="131"/>
  <c r="C15" i="131"/>
  <c r="C14" i="131"/>
  <c r="C13" i="131"/>
  <c r="H12" i="13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H33" i="131" s="1"/>
  <c r="H34" i="131" s="1"/>
  <c r="H35" i="131" s="1"/>
  <c r="H36" i="131" s="1"/>
  <c r="H37" i="131" s="1"/>
  <c r="H38" i="131" s="1"/>
  <c r="H39" i="131" s="1"/>
  <c r="H40" i="131" s="1"/>
  <c r="H41" i="131" s="1"/>
  <c r="H42" i="131" s="1"/>
  <c r="H43" i="131" s="1"/>
  <c r="H44" i="131" s="1"/>
  <c r="H45" i="131" s="1"/>
  <c r="H46" i="131" s="1"/>
  <c r="H47" i="131" s="1"/>
  <c r="H48" i="131" s="1"/>
  <c r="H49" i="131" s="1"/>
  <c r="H50" i="131" s="1"/>
  <c r="H51" i="131" s="1"/>
  <c r="H52" i="131" s="1"/>
  <c r="H53" i="131" s="1"/>
  <c r="H54" i="131" s="1"/>
  <c r="H55" i="131" s="1"/>
  <c r="H56" i="131" s="1"/>
  <c r="H57" i="131" s="1"/>
  <c r="C12" i="131"/>
  <c r="H11" i="131"/>
  <c r="C11" i="131"/>
  <c r="A11" i="131"/>
  <c r="A12" i="131" s="1"/>
  <c r="A13" i="131" s="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37" i="131" s="1"/>
  <c r="A38" i="131" s="1"/>
  <c r="A39" i="131" s="1"/>
  <c r="A40" i="131" s="1"/>
  <c r="A41" i="131" s="1"/>
  <c r="A42" i="131" s="1"/>
  <c r="A43" i="131" s="1"/>
  <c r="A44" i="131" s="1"/>
  <c r="A45" i="131" s="1"/>
  <c r="A46" i="131" s="1"/>
  <c r="A47" i="131" s="1"/>
  <c r="A48" i="131" s="1"/>
  <c r="A49" i="131" s="1"/>
  <c r="A50" i="131" s="1"/>
  <c r="A51" i="131" s="1"/>
  <c r="A52" i="131" s="1"/>
  <c r="A53" i="131" s="1"/>
  <c r="A54" i="131" s="1"/>
  <c r="A55" i="131" s="1"/>
  <c r="A56" i="131" s="1"/>
  <c r="A57" i="131" s="1"/>
  <c r="C10" i="131"/>
  <c r="F9" i="131"/>
  <c r="A4" i="131"/>
  <c r="E11" i="102"/>
  <c r="H11" i="102" s="1"/>
  <c r="M12" i="113"/>
  <c r="M11" i="113"/>
  <c r="M10" i="113"/>
  <c r="M9" i="113"/>
  <c r="M8" i="113"/>
  <c r="M7" i="113"/>
  <c r="M21" i="113" s="1"/>
  <c r="K7" i="113"/>
  <c r="F10" i="132" l="1"/>
  <c r="D10" i="132"/>
  <c r="E10" i="132"/>
  <c r="E10" i="131"/>
  <c r="D10" i="131" s="1"/>
  <c r="K8" i="113"/>
  <c r="K9" i="113" s="1"/>
  <c r="K10" i="113" s="1"/>
  <c r="K11" i="113" s="1"/>
  <c r="K12" i="113" s="1"/>
  <c r="K14" i="113" l="1"/>
  <c r="E11" i="132"/>
  <c r="D11" i="132" s="1"/>
  <c r="F11" i="132" s="1"/>
  <c r="F10" i="131"/>
  <c r="E12" i="132" l="1"/>
  <c r="D12" i="132" s="1"/>
  <c r="E11" i="131"/>
  <c r="D11" i="131" s="1"/>
  <c r="E30" i="119"/>
  <c r="D30" i="119" s="1"/>
  <c r="C30" i="119"/>
  <c r="D29" i="120"/>
  <c r="C45" i="116"/>
  <c r="C45" i="115"/>
  <c r="E8" i="102"/>
  <c r="H8" i="102" s="1"/>
  <c r="G53" i="118"/>
  <c r="K29" i="120"/>
  <c r="M50" i="115"/>
  <c r="M49" i="115"/>
  <c r="M48" i="115"/>
  <c r="M47" i="115"/>
  <c r="M51" i="115" s="1"/>
  <c r="I32" i="127"/>
  <c r="W7" i="112"/>
  <c r="F12" i="132" l="1"/>
  <c r="F11" i="131"/>
  <c r="E13" i="132" l="1"/>
  <c r="E12" i="131"/>
  <c r="D12" i="131" s="1"/>
  <c r="E10" i="102"/>
  <c r="H10" i="102" s="1"/>
  <c r="E9" i="102"/>
  <c r="H9" i="102" s="1"/>
  <c r="F13" i="132" l="1"/>
  <c r="F12" i="131"/>
  <c r="C23" i="58"/>
  <c r="E14" i="132" l="1"/>
  <c r="F14" i="132" s="1"/>
  <c r="E13" i="131"/>
  <c r="D13" i="131" s="1"/>
  <c r="F13" i="131" s="1"/>
  <c r="E15" i="132" l="1"/>
  <c r="F15" i="132" s="1"/>
  <c r="E14" i="131"/>
  <c r="D14" i="131" s="1"/>
  <c r="F14" i="131" s="1"/>
  <c r="E7" i="102"/>
  <c r="H7" i="102" s="1"/>
  <c r="E32" i="127"/>
  <c r="I22" i="127"/>
  <c r="E16" i="132" l="1"/>
  <c r="F16" i="132" s="1"/>
  <c r="E15" i="131"/>
  <c r="D15" i="131" s="1"/>
  <c r="F15" i="131" s="1"/>
  <c r="V6" i="112"/>
  <c r="E17" i="132" l="1"/>
  <c r="E16" i="131"/>
  <c r="D16" i="131" s="1"/>
  <c r="F16" i="131" s="1"/>
  <c r="F17" i="132" l="1"/>
  <c r="E18" i="132" s="1"/>
  <c r="E17" i="131"/>
  <c r="F17" i="131" s="1"/>
  <c r="F18" i="132" l="1"/>
  <c r="E19" i="132" s="1"/>
  <c r="D21" i="132" s="1"/>
  <c r="E18" i="131"/>
  <c r="F18" i="131" s="1"/>
  <c r="K28" i="120"/>
  <c r="G52" i="118"/>
  <c r="F19" i="132" l="1"/>
  <c r="E20" i="132" s="1"/>
  <c r="D22" i="132" s="1"/>
  <c r="E19" i="131"/>
  <c r="A64" i="117"/>
  <c r="H64" i="117"/>
  <c r="A63" i="117"/>
  <c r="H63" i="117"/>
  <c r="G52" i="117"/>
  <c r="I44" i="116"/>
  <c r="F19" i="131" l="1"/>
  <c r="D20" i="131"/>
  <c r="F20" i="132"/>
  <c r="E20" i="131"/>
  <c r="D21" i="131" s="1"/>
  <c r="S35" i="125"/>
  <c r="R35" i="125"/>
  <c r="S34" i="125"/>
  <c r="B6" i="125"/>
  <c r="C5" i="125"/>
  <c r="C4" i="125"/>
  <c r="D3" i="125"/>
  <c r="S37" i="125" l="1"/>
  <c r="R34" i="125"/>
  <c r="R37" i="125" s="1"/>
  <c r="F21" i="132"/>
  <c r="E21" i="132"/>
  <c r="D23" i="132" s="1"/>
  <c r="F20" i="131"/>
  <c r="C6" i="125"/>
  <c r="D5" i="125" s="1"/>
  <c r="F22" i="132" l="1"/>
  <c r="E22" i="132"/>
  <c r="D24" i="132" s="1"/>
  <c r="F21" i="131"/>
  <c r="E21" i="131"/>
  <c r="D22" i="131" s="1"/>
  <c r="E5" i="125"/>
  <c r="F5" i="125" s="1"/>
  <c r="E9" i="125" s="1"/>
  <c r="E10" i="125" s="1"/>
  <c r="D4" i="125"/>
  <c r="F23" i="132" l="1"/>
  <c r="E23" i="132"/>
  <c r="D25" i="132" s="1"/>
  <c r="F22" i="131"/>
  <c r="E22" i="131"/>
  <c r="D23" i="131" s="1"/>
  <c r="E4" i="125"/>
  <c r="F4" i="125" s="1"/>
  <c r="B9" i="125" s="1"/>
  <c r="B10" i="125" s="1"/>
  <c r="E20" i="125"/>
  <c r="E16" i="125"/>
  <c r="E12" i="125"/>
  <c r="E18" i="125"/>
  <c r="E17" i="125"/>
  <c r="E23" i="125"/>
  <c r="E19" i="125"/>
  <c r="E15" i="125"/>
  <c r="E21" i="125"/>
  <c r="E22" i="125"/>
  <c r="E14" i="125"/>
  <c r="E13" i="125"/>
  <c r="F24" i="132" l="1"/>
  <c r="E24" i="132"/>
  <c r="D26" i="132" s="1"/>
  <c r="F23" i="131"/>
  <c r="E23" i="131"/>
  <c r="D24" i="131" s="1"/>
  <c r="E25" i="125"/>
  <c r="B15" i="125"/>
  <c r="B18" i="125"/>
  <c r="B17" i="125"/>
  <c r="B20" i="125"/>
  <c r="B16" i="125"/>
  <c r="B12" i="125"/>
  <c r="B19" i="125"/>
  <c r="B14" i="125"/>
  <c r="B23" i="125"/>
  <c r="B13" i="125"/>
  <c r="B21" i="125"/>
  <c r="B22" i="125"/>
  <c r="B25" i="125" l="1"/>
  <c r="F25" i="132"/>
  <c r="E25" i="132"/>
  <c r="D27" i="132" s="1"/>
  <c r="F24" i="131"/>
  <c r="E24" i="131"/>
  <c r="D25" i="131" s="1"/>
  <c r="E3" i="122"/>
  <c r="K27" i="120"/>
  <c r="D26" i="120"/>
  <c r="E26" i="120" s="1"/>
  <c r="D27" i="120"/>
  <c r="D28" i="120"/>
  <c r="D25" i="120"/>
  <c r="F26" i="132" l="1"/>
  <c r="E26" i="132"/>
  <c r="D28" i="132" s="1"/>
  <c r="F25" i="131"/>
  <c r="E25" i="131"/>
  <c r="D26" i="131" s="1"/>
  <c r="E52" i="118"/>
  <c r="G51" i="118"/>
  <c r="G50" i="118"/>
  <c r="G49" i="118"/>
  <c r="A51" i="118"/>
  <c r="E51" i="118"/>
  <c r="F51" i="118"/>
  <c r="H51" i="118"/>
  <c r="H52" i="118" s="1"/>
  <c r="H53" i="118" s="1"/>
  <c r="H54" i="118" s="1"/>
  <c r="H55" i="118" s="1"/>
  <c r="H56" i="118" s="1"/>
  <c r="H57" i="118" s="1"/>
  <c r="H58" i="118" s="1"/>
  <c r="H59" i="118" s="1"/>
  <c r="H60" i="118" s="1"/>
  <c r="H61" i="118" s="1"/>
  <c r="H62" i="118" s="1"/>
  <c r="H63" i="118" s="1"/>
  <c r="H64" i="118" s="1"/>
  <c r="H65" i="118" s="1"/>
  <c r="H66" i="118" s="1"/>
  <c r="H67" i="118" s="1"/>
  <c r="H68" i="118" s="1"/>
  <c r="H69" i="118" s="1"/>
  <c r="A52" i="118"/>
  <c r="A53" i="118" s="1"/>
  <c r="A54" i="118" s="1"/>
  <c r="A55" i="118" s="1"/>
  <c r="A56" i="118" s="1"/>
  <c r="A57" i="118" s="1"/>
  <c r="A58" i="118" s="1"/>
  <c r="A59" i="118" s="1"/>
  <c r="A60" i="118" s="1"/>
  <c r="A61" i="118" s="1"/>
  <c r="A62" i="118" s="1"/>
  <c r="A63" i="118" s="1"/>
  <c r="A64" i="118" s="1"/>
  <c r="A65" i="118" s="1"/>
  <c r="A66" i="118" s="1"/>
  <c r="A67" i="118" s="1"/>
  <c r="A68" i="118" s="1"/>
  <c r="A69" i="118" s="1"/>
  <c r="F52" i="118"/>
  <c r="E53" i="118" s="1"/>
  <c r="A39" i="118"/>
  <c r="A40" i="118"/>
  <c r="A41" i="118"/>
  <c r="A42" i="118" s="1"/>
  <c r="A43" i="118" s="1"/>
  <c r="A44" i="118" s="1"/>
  <c r="A45" i="118" s="1"/>
  <c r="A46" i="118" s="1"/>
  <c r="A47" i="118" s="1"/>
  <c r="A48" i="118" s="1"/>
  <c r="A49" i="118" s="1"/>
  <c r="A50" i="118" s="1"/>
  <c r="I42" i="116"/>
  <c r="E2" i="122"/>
  <c r="B44" i="58"/>
  <c r="C22" i="58"/>
  <c r="N5" i="118" l="1"/>
  <c r="F27" i="132"/>
  <c r="E27" i="132"/>
  <c r="D29" i="132" s="1"/>
  <c r="F26" i="131"/>
  <c r="E26" i="131"/>
  <c r="D27" i="131" s="1"/>
  <c r="F53" i="118"/>
  <c r="F28" i="132" l="1"/>
  <c r="E28" i="132"/>
  <c r="D30" i="132" s="1"/>
  <c r="E27" i="131"/>
  <c r="D28" i="131" s="1"/>
  <c r="F27" i="131"/>
  <c r="F54" i="118"/>
  <c r="E54" i="118"/>
  <c r="E29" i="132" l="1"/>
  <c r="D31" i="132" s="1"/>
  <c r="F29" i="132"/>
  <c r="F28" i="131"/>
  <c r="E28" i="131"/>
  <c r="D29" i="131" s="1"/>
  <c r="E55" i="118"/>
  <c r="F55" i="118"/>
  <c r="F30" i="132" l="1"/>
  <c r="E30" i="132"/>
  <c r="D32" i="132" s="1"/>
  <c r="F29" i="131"/>
  <c r="E29" i="131"/>
  <c r="D30" i="131" s="1"/>
  <c r="E56" i="118"/>
  <c r="F56" i="118"/>
  <c r="F31" i="132" l="1"/>
  <c r="E31" i="132"/>
  <c r="D33" i="132" s="1"/>
  <c r="F30" i="131"/>
  <c r="E30" i="131"/>
  <c r="D31" i="131" s="1"/>
  <c r="F57" i="118"/>
  <c r="E57" i="118"/>
  <c r="F32" i="132" l="1"/>
  <c r="E32" i="132"/>
  <c r="D34" i="132" s="1"/>
  <c r="F31" i="131"/>
  <c r="E31" i="131"/>
  <c r="D32" i="131" s="1"/>
  <c r="E58" i="118"/>
  <c r="F58" i="118"/>
  <c r="F33" i="132" l="1"/>
  <c r="E33" i="132"/>
  <c r="D35" i="132" s="1"/>
  <c r="F32" i="131"/>
  <c r="E32" i="131"/>
  <c r="D33" i="131" s="1"/>
  <c r="E59" i="118"/>
  <c r="F59" i="118"/>
  <c r="F34" i="132" l="1"/>
  <c r="E34" i="132"/>
  <c r="D36" i="132" s="1"/>
  <c r="F33" i="131"/>
  <c r="E33" i="131"/>
  <c r="D34" i="131" s="1"/>
  <c r="E60" i="118"/>
  <c r="F60" i="118"/>
  <c r="F35" i="132" l="1"/>
  <c r="E35" i="132"/>
  <c r="D37" i="132" s="1"/>
  <c r="F34" i="131"/>
  <c r="E34" i="131"/>
  <c r="D35" i="131" s="1"/>
  <c r="E61" i="118"/>
  <c r="F61" i="118"/>
  <c r="F36" i="132" l="1"/>
  <c r="E36" i="132"/>
  <c r="D38" i="132" s="1"/>
  <c r="F35" i="131"/>
  <c r="E35" i="131"/>
  <c r="D36" i="131" s="1"/>
  <c r="E62" i="118"/>
  <c r="F62" i="118"/>
  <c r="E37" i="132" l="1"/>
  <c r="D39" i="132" s="1"/>
  <c r="F37" i="132"/>
  <c r="E36" i="131"/>
  <c r="D37" i="131" s="1"/>
  <c r="F36" i="131"/>
  <c r="E63" i="118"/>
  <c r="F63" i="118"/>
  <c r="E38" i="132" l="1"/>
  <c r="D40" i="132" s="1"/>
  <c r="F38" i="132"/>
  <c r="F37" i="131"/>
  <c r="E37" i="131"/>
  <c r="D38" i="131" s="1"/>
  <c r="E64" i="118"/>
  <c r="F64" i="118"/>
  <c r="E39" i="132" l="1"/>
  <c r="D41" i="132" s="1"/>
  <c r="F39" i="132"/>
  <c r="F38" i="131"/>
  <c r="E38" i="131"/>
  <c r="D39" i="131" s="1"/>
  <c r="E65" i="118"/>
  <c r="F65" i="118"/>
  <c r="E40" i="132" l="1"/>
  <c r="D42" i="132" s="1"/>
  <c r="F40" i="132"/>
  <c r="E39" i="131"/>
  <c r="D40" i="131" s="1"/>
  <c r="F39" i="131"/>
  <c r="F66" i="118"/>
  <c r="E66" i="118"/>
  <c r="F41" i="132" l="1"/>
  <c r="E41" i="132"/>
  <c r="D43" i="132" s="1"/>
  <c r="E40" i="131"/>
  <c r="D41" i="131" s="1"/>
  <c r="F40" i="131"/>
  <c r="E67" i="118"/>
  <c r="F67" i="118"/>
  <c r="F42" i="132" l="1"/>
  <c r="E42" i="132"/>
  <c r="D44" i="132" s="1"/>
  <c r="F41" i="131"/>
  <c r="E41" i="131"/>
  <c r="D42" i="131" s="1"/>
  <c r="E68" i="118"/>
  <c r="F68" i="118"/>
  <c r="F43" i="132" l="1"/>
  <c r="E43" i="132"/>
  <c r="D45" i="132" s="1"/>
  <c r="F42" i="131"/>
  <c r="E42" i="131"/>
  <c r="D43" i="131" s="1"/>
  <c r="E69" i="118"/>
  <c r="F69" i="118"/>
  <c r="E44" i="132" l="1"/>
  <c r="D46" i="132" s="1"/>
  <c r="F44" i="132"/>
  <c r="F43" i="131"/>
  <c r="E43" i="131"/>
  <c r="D44" i="131" s="1"/>
  <c r="F45" i="132" l="1"/>
  <c r="E45" i="132"/>
  <c r="D47" i="132" s="1"/>
  <c r="E44" i="131"/>
  <c r="D45" i="131" s="1"/>
  <c r="F44" i="131"/>
  <c r="F46" i="132" l="1"/>
  <c r="E46" i="132"/>
  <c r="D48" i="132" s="1"/>
  <c r="E45" i="131"/>
  <c r="D46" i="131" s="1"/>
  <c r="F45" i="131"/>
  <c r="F47" i="132" l="1"/>
  <c r="E47" i="132"/>
  <c r="D49" i="132" s="1"/>
  <c r="F46" i="131"/>
  <c r="E46" i="131"/>
  <c r="D47" i="131" s="1"/>
  <c r="E48" i="132" l="1"/>
  <c r="D50" i="132" s="1"/>
  <c r="F48" i="132"/>
  <c r="F47" i="131"/>
  <c r="E47" i="131"/>
  <c r="D48" i="131" s="1"/>
  <c r="F49" i="132" l="1"/>
  <c r="E49" i="132"/>
  <c r="D51" i="132" s="1"/>
  <c r="F48" i="131"/>
  <c r="E48" i="131"/>
  <c r="D49" i="131" s="1"/>
  <c r="E50" i="132" l="1"/>
  <c r="D52" i="132" s="1"/>
  <c r="F50" i="132"/>
  <c r="E49" i="131"/>
  <c r="D50" i="131" s="1"/>
  <c r="F49" i="131"/>
  <c r="F51" i="132" l="1"/>
  <c r="E51" i="132"/>
  <c r="D53" i="132" s="1"/>
  <c r="F50" i="131"/>
  <c r="E50" i="131"/>
  <c r="D51" i="131" s="1"/>
  <c r="E52" i="132" l="1"/>
  <c r="D54" i="132" s="1"/>
  <c r="F52" i="132"/>
  <c r="E51" i="131"/>
  <c r="D52" i="131" s="1"/>
  <c r="F51" i="131"/>
  <c r="F53" i="132" l="1"/>
  <c r="E53" i="132"/>
  <c r="D55" i="132" s="1"/>
  <c r="E52" i="131"/>
  <c r="D53" i="131" s="1"/>
  <c r="F52" i="131"/>
  <c r="F54" i="132" l="1"/>
  <c r="E54" i="132"/>
  <c r="D56" i="132" s="1"/>
  <c r="E53" i="131"/>
  <c r="D54" i="131" s="1"/>
  <c r="F53" i="131"/>
  <c r="F55" i="132" l="1"/>
  <c r="E55" i="132"/>
  <c r="D57" i="132" s="1"/>
  <c r="F54" i="131"/>
  <c r="E54" i="131"/>
  <c r="D55" i="131" s="1"/>
  <c r="F56" i="132" l="1"/>
  <c r="E56" i="132"/>
  <c r="F55" i="131"/>
  <c r="E55" i="131"/>
  <c r="D56" i="131" s="1"/>
  <c r="N5" i="132" l="1"/>
  <c r="C33" i="58" s="1"/>
  <c r="I33" i="58" s="1"/>
  <c r="F57" i="132"/>
  <c r="E57" i="132"/>
  <c r="F56" i="131"/>
  <c r="E56" i="131"/>
  <c r="N5" i="131" l="1"/>
  <c r="P5" i="131" s="1"/>
  <c r="D57" i="131"/>
  <c r="P5" i="132"/>
  <c r="G33" i="58"/>
  <c r="N6" i="132"/>
  <c r="C40" i="58" s="1"/>
  <c r="I40" i="58" s="1"/>
  <c r="F57" i="131"/>
  <c r="E57" i="131"/>
  <c r="N6" i="131" l="1"/>
  <c r="P6" i="131" s="1"/>
  <c r="C32" i="58"/>
  <c r="G40" i="58"/>
  <c r="P6" i="132"/>
  <c r="N7" i="132"/>
  <c r="N8" i="132" s="1"/>
  <c r="I32" i="58"/>
  <c r="G32" i="58"/>
  <c r="F27" i="119"/>
  <c r="D27" i="119"/>
  <c r="D26" i="119"/>
  <c r="E27" i="119"/>
  <c r="F42" i="116"/>
  <c r="E5" i="102"/>
  <c r="E6" i="102"/>
  <c r="H6" i="102" s="1"/>
  <c r="B34" i="125"/>
  <c r="L11" i="125"/>
  <c r="L12" i="125"/>
  <c r="K9" i="125"/>
  <c r="K12" i="125" s="1"/>
  <c r="K6" i="125"/>
  <c r="K5" i="125"/>
  <c r="K4" i="125"/>
  <c r="A27" i="125" s="1"/>
  <c r="F32" i="125" s="1"/>
  <c r="N7" i="131" l="1"/>
  <c r="N8" i="131" s="1"/>
  <c r="C39" i="58"/>
  <c r="D34" i="125"/>
  <c r="H34" i="125" s="1"/>
  <c r="N33" i="125"/>
  <c r="M12" i="125"/>
  <c r="K11" i="125"/>
  <c r="M11" i="125" s="1"/>
  <c r="I39" i="58"/>
  <c r="G39" i="58"/>
  <c r="J33" i="125" l="1"/>
  <c r="L34" i="125"/>
  <c r="C34" i="125"/>
  <c r="H5" i="102"/>
  <c r="H23" i="102" s="1"/>
  <c r="C14" i="112"/>
  <c r="S5" i="112"/>
  <c r="K17" i="115"/>
  <c r="K34" i="125" l="1"/>
  <c r="F34" i="125"/>
  <c r="G34" i="125"/>
  <c r="J34" i="125" s="1"/>
  <c r="H20" i="58"/>
  <c r="H21" i="58"/>
  <c r="G22" i="58"/>
  <c r="H22" i="58"/>
  <c r="I22" i="58"/>
  <c r="H23" i="58"/>
  <c r="H24" i="58"/>
  <c r="H25" i="58"/>
  <c r="H26" i="58"/>
  <c r="H27" i="58"/>
  <c r="H28" i="58"/>
  <c r="H29" i="58"/>
  <c r="H30" i="58"/>
  <c r="H31" i="58"/>
  <c r="H34" i="58"/>
  <c r="H35" i="58"/>
  <c r="G36" i="58"/>
  <c r="H36" i="58"/>
  <c r="I36" i="58"/>
  <c r="H37" i="58"/>
  <c r="H38" i="58"/>
  <c r="H41" i="58"/>
  <c r="H42" i="58"/>
  <c r="I44" i="58"/>
  <c r="H18" i="58"/>
  <c r="H19" i="58"/>
  <c r="C18" i="58"/>
  <c r="G18" i="58" s="1"/>
  <c r="I2" i="127"/>
  <c r="B4" i="58"/>
  <c r="O34" i="125" l="1"/>
  <c r="N34" i="125"/>
  <c r="I18" i="58"/>
  <c r="H16" i="58"/>
  <c r="H17" i="58"/>
  <c r="C14" i="58"/>
  <c r="D10" i="109"/>
  <c r="D11" i="109" s="1"/>
  <c r="D12" i="109" s="1"/>
  <c r="D13" i="109" s="1"/>
  <c r="D14" i="109" s="1"/>
  <c r="D15" i="109" s="1"/>
  <c r="D16" i="109" s="1"/>
  <c r="D17" i="109" s="1"/>
  <c r="D18" i="109" s="1"/>
  <c r="D19" i="109" s="1"/>
  <c r="D20" i="109" s="1"/>
  <c r="D21" i="109" s="1"/>
  <c r="D22" i="109" s="1"/>
  <c r="D23" i="109" s="1"/>
  <c r="D24" i="109" s="1"/>
  <c r="D25" i="109" s="1"/>
  <c r="D26" i="109" s="1"/>
  <c r="D27" i="109" s="1"/>
  <c r="D28" i="109" s="1"/>
  <c r="D29" i="109" s="1"/>
  <c r="D30" i="109" s="1"/>
  <c r="D31" i="109" s="1"/>
  <c r="D32" i="109" s="1"/>
  <c r="D33" i="109" s="1"/>
  <c r="D34" i="109" s="1"/>
  <c r="D35" i="109" s="1"/>
  <c r="D36" i="109" s="1"/>
  <c r="D37" i="109" s="1"/>
  <c r="D38" i="109" s="1"/>
  <c r="D39" i="109" s="1"/>
  <c r="D40" i="109" s="1"/>
  <c r="D41" i="109" s="1"/>
  <c r="D42" i="109" s="1"/>
  <c r="D43" i="109" s="1"/>
  <c r="D44" i="109" s="1"/>
  <c r="D45" i="109" s="1"/>
  <c r="D46" i="109" s="1"/>
  <c r="D47" i="109" s="1"/>
  <c r="D48" i="109" s="1"/>
  <c r="D49" i="109" s="1"/>
  <c r="D50" i="109" s="1"/>
  <c r="D51" i="109" s="1"/>
  <c r="D52" i="109" s="1"/>
  <c r="D53" i="109" s="1"/>
  <c r="D54" i="109" s="1"/>
  <c r="D55" i="109" s="1"/>
  <c r="D56" i="109" s="1"/>
  <c r="D57" i="109" s="1"/>
  <c r="D58" i="109" s="1"/>
  <c r="D59" i="109" s="1"/>
  <c r="D60" i="109" s="1"/>
  <c r="D61" i="109" s="1"/>
  <c r="D62" i="109" s="1"/>
  <c r="D63" i="109" s="1"/>
  <c r="D64" i="109" s="1"/>
  <c r="D65" i="109" s="1"/>
  <c r="D66" i="109" s="1"/>
  <c r="D67" i="109" s="1"/>
  <c r="D68" i="109" s="1"/>
  <c r="D69" i="109" s="1"/>
  <c r="D70" i="109" s="1"/>
  <c r="D71" i="109" s="1"/>
  <c r="D72" i="109" s="1"/>
  <c r="D73" i="109" s="1"/>
  <c r="D74" i="109" s="1"/>
  <c r="D75" i="109" s="1"/>
  <c r="D76" i="109" s="1"/>
  <c r="D77" i="109" s="1"/>
  <c r="D78" i="109" s="1"/>
  <c r="D79" i="109" s="1"/>
  <c r="D80" i="109" s="1"/>
  <c r="D81" i="109" s="1"/>
  <c r="D82" i="109" s="1"/>
  <c r="D83" i="109" s="1"/>
  <c r="D84" i="109" s="1"/>
  <c r="D85" i="109" s="1"/>
  <c r="D86" i="109" s="1"/>
  <c r="D87" i="109" s="1"/>
  <c r="D88" i="109" s="1"/>
  <c r="D89" i="109" s="1"/>
  <c r="D90" i="109" s="1"/>
  <c r="D91" i="109" s="1"/>
  <c r="D92" i="109" s="1"/>
  <c r="D93" i="109" s="1"/>
  <c r="D94" i="109" s="1"/>
  <c r="D95" i="109" s="1"/>
  <c r="D96" i="109" s="1"/>
  <c r="D97" i="109" s="1"/>
  <c r="D98" i="109" s="1"/>
  <c r="D99" i="109" s="1"/>
  <c r="D100" i="109" s="1"/>
  <c r="D101" i="109" s="1"/>
  <c r="D102" i="109" s="1"/>
  <c r="D103" i="109" s="1"/>
  <c r="D104" i="109" s="1"/>
  <c r="D105" i="109" s="1"/>
  <c r="D106" i="109" s="1"/>
  <c r="D107" i="109" s="1"/>
  <c r="D108" i="109" s="1"/>
  <c r="D109" i="109" s="1"/>
  <c r="D110" i="109" s="1"/>
  <c r="D111" i="109" s="1"/>
  <c r="D112" i="109" s="1"/>
  <c r="D113" i="109" s="1"/>
  <c r="D114" i="109" s="1"/>
  <c r="D115" i="109" s="1"/>
  <c r="D116" i="109" s="1"/>
  <c r="D117" i="109" s="1"/>
  <c r="D118" i="109" s="1"/>
  <c r="D119" i="109" s="1"/>
  <c r="D120" i="109" s="1"/>
  <c r="D121" i="109" s="1"/>
  <c r="D122" i="109" s="1"/>
  <c r="D123" i="109" s="1"/>
  <c r="D124" i="109" s="1"/>
  <c r="D125" i="109" s="1"/>
  <c r="D126" i="109" s="1"/>
  <c r="D127" i="109" s="1"/>
  <c r="D128" i="109" s="1"/>
  <c r="D129" i="109" s="1"/>
  <c r="D130" i="109" s="1"/>
  <c r="D131" i="109" s="1"/>
  <c r="D132" i="109" s="1"/>
  <c r="D133" i="109" s="1"/>
  <c r="D134" i="109" s="1"/>
  <c r="D135" i="109" s="1"/>
  <c r="D136" i="109" s="1"/>
  <c r="D137" i="109" s="1"/>
  <c r="D138" i="109" s="1"/>
  <c r="D139" i="109" s="1"/>
  <c r="D140" i="109" s="1"/>
  <c r="D141" i="109" s="1"/>
  <c r="D142" i="109" s="1"/>
  <c r="D143" i="109" s="1"/>
  <c r="D144" i="109" s="1"/>
  <c r="D145" i="109" s="1"/>
  <c r="D146" i="109" s="1"/>
  <c r="D147" i="109" s="1"/>
  <c r="D148" i="109" s="1"/>
  <c r="D149" i="109" s="1"/>
  <c r="D150" i="109" s="1"/>
  <c r="D151" i="109" s="1"/>
  <c r="D152" i="109" s="1"/>
  <c r="D153" i="109" s="1"/>
  <c r="D154" i="109" s="1"/>
  <c r="D155" i="109" s="1"/>
  <c r="D156" i="109" s="1"/>
  <c r="D157" i="109" s="1"/>
  <c r="D158" i="109" s="1"/>
  <c r="D159" i="109" s="1"/>
  <c r="D160" i="109" s="1"/>
  <c r="D161" i="109" s="1"/>
  <c r="D162" i="109" s="1"/>
  <c r="D163" i="109" s="1"/>
  <c r="D164" i="109" s="1"/>
  <c r="D165" i="109" s="1"/>
  <c r="D166" i="109" s="1"/>
  <c r="D167" i="109" s="1"/>
  <c r="D168" i="109" s="1"/>
  <c r="D169" i="109" s="1"/>
  <c r="D170" i="109" s="1"/>
  <c r="D171" i="109" s="1"/>
  <c r="D172" i="109" s="1"/>
  <c r="D173" i="109" s="1"/>
  <c r="D174" i="109" s="1"/>
  <c r="D175" i="109" s="1"/>
  <c r="D176" i="109" s="1"/>
  <c r="D177" i="109" s="1"/>
  <c r="D178" i="109" s="1"/>
  <c r="D179" i="109" s="1"/>
  <c r="D180" i="109" s="1"/>
  <c r="D181" i="109" s="1"/>
  <c r="D182" i="109" s="1"/>
  <c r="D183" i="109" s="1"/>
  <c r="D184" i="109" s="1"/>
  <c r="D185" i="109" s="1"/>
  <c r="D186" i="109" s="1"/>
  <c r="D187" i="109" s="1"/>
  <c r="D9" i="109"/>
  <c r="D8" i="109"/>
  <c r="A50" i="109"/>
  <c r="A51" i="109" s="1"/>
  <c r="A52" i="109" s="1"/>
  <c r="A53" i="109" s="1"/>
  <c r="A54" i="109" s="1"/>
  <c r="A55" i="109" s="1"/>
  <c r="A56" i="109" s="1"/>
  <c r="A57" i="109" s="1"/>
  <c r="A58" i="109" s="1"/>
  <c r="A59" i="109" s="1"/>
  <c r="A60" i="109" s="1"/>
  <c r="A61" i="109" s="1"/>
  <c r="A62" i="109" s="1"/>
  <c r="A63" i="109" s="1"/>
  <c r="A64" i="109" s="1"/>
  <c r="A65" i="109" s="1"/>
  <c r="A66" i="109" s="1"/>
  <c r="A67" i="109" s="1"/>
  <c r="A68" i="109" s="1"/>
  <c r="A69" i="109" s="1"/>
  <c r="A70" i="109" s="1"/>
  <c r="A71" i="109" s="1"/>
  <c r="A72" i="109" s="1"/>
  <c r="A73" i="109" s="1"/>
  <c r="A74" i="109" s="1"/>
  <c r="A75" i="109" s="1"/>
  <c r="A76" i="109" s="1"/>
  <c r="A77" i="109" s="1"/>
  <c r="A78" i="109" s="1"/>
  <c r="A79" i="109" s="1"/>
  <c r="A80" i="109" s="1"/>
  <c r="A81" i="109" s="1"/>
  <c r="A82" i="109" s="1"/>
  <c r="A83" i="109" s="1"/>
  <c r="A84" i="109" s="1"/>
  <c r="A85" i="109" s="1"/>
  <c r="A86" i="109" s="1"/>
  <c r="A87" i="109" s="1"/>
  <c r="A88" i="109" s="1"/>
  <c r="A89" i="109" s="1"/>
  <c r="A90" i="109" s="1"/>
  <c r="A91" i="109" s="1"/>
  <c r="A92" i="109" s="1"/>
  <c r="A93" i="109" s="1"/>
  <c r="A94" i="109" s="1"/>
  <c r="A95" i="109" s="1"/>
  <c r="A96" i="109" s="1"/>
  <c r="A97" i="109" s="1"/>
  <c r="A98" i="109" s="1"/>
  <c r="A99" i="109" s="1"/>
  <c r="A100" i="109" s="1"/>
  <c r="A101" i="109" s="1"/>
  <c r="A102" i="109" s="1"/>
  <c r="A103" i="109" s="1"/>
  <c r="A104" i="109" s="1"/>
  <c r="A105" i="109" s="1"/>
  <c r="A106" i="109" s="1"/>
  <c r="A107" i="109" s="1"/>
  <c r="A108" i="109" s="1"/>
  <c r="A109" i="109" s="1"/>
  <c r="A110" i="109" s="1"/>
  <c r="A111" i="109" s="1"/>
  <c r="A112" i="109" s="1"/>
  <c r="A113" i="109" s="1"/>
  <c r="A114" i="109" s="1"/>
  <c r="A115" i="109" s="1"/>
  <c r="A116" i="109" s="1"/>
  <c r="A117" i="109" s="1"/>
  <c r="A118" i="109" s="1"/>
  <c r="A119" i="109" s="1"/>
  <c r="A120" i="109" s="1"/>
  <c r="A121" i="109" s="1"/>
  <c r="A122" i="109" s="1"/>
  <c r="A123" i="109" s="1"/>
  <c r="A124" i="109" s="1"/>
  <c r="A125" i="109" s="1"/>
  <c r="A126" i="109" s="1"/>
  <c r="A127" i="109" s="1"/>
  <c r="A128" i="109" s="1"/>
  <c r="A129" i="109" s="1"/>
  <c r="A130" i="109" s="1"/>
  <c r="A131" i="109" s="1"/>
  <c r="A132" i="109" s="1"/>
  <c r="A133" i="109" s="1"/>
  <c r="A134" i="109" s="1"/>
  <c r="A135" i="109" s="1"/>
  <c r="A136" i="109" s="1"/>
  <c r="A137" i="109" s="1"/>
  <c r="A138" i="109" s="1"/>
  <c r="A139" i="109" s="1"/>
  <c r="A140" i="109" s="1"/>
  <c r="A141" i="109" s="1"/>
  <c r="A142" i="109" s="1"/>
  <c r="A143" i="109" s="1"/>
  <c r="A144" i="109" s="1"/>
  <c r="A145" i="109" s="1"/>
  <c r="A146" i="109" s="1"/>
  <c r="A147" i="109" s="1"/>
  <c r="A148" i="109" s="1"/>
  <c r="A149" i="109" s="1"/>
  <c r="A150" i="109" s="1"/>
  <c r="A151" i="109" s="1"/>
  <c r="A152" i="109" s="1"/>
  <c r="A153" i="109" s="1"/>
  <c r="A154" i="109" s="1"/>
  <c r="A155" i="109" s="1"/>
  <c r="A156" i="109" s="1"/>
  <c r="A157" i="109" s="1"/>
  <c r="A158" i="109" s="1"/>
  <c r="A159" i="109" s="1"/>
  <c r="A160" i="109" s="1"/>
  <c r="A161" i="109" s="1"/>
  <c r="A162" i="109" s="1"/>
  <c r="A163" i="109" s="1"/>
  <c r="A164" i="109" s="1"/>
  <c r="A165" i="109" s="1"/>
  <c r="A166" i="109" s="1"/>
  <c r="A167" i="109" s="1"/>
  <c r="A168" i="109" s="1"/>
  <c r="A169" i="109" s="1"/>
  <c r="A170" i="109" s="1"/>
  <c r="A171" i="109" s="1"/>
  <c r="A172" i="109" s="1"/>
  <c r="A173" i="109" s="1"/>
  <c r="A174" i="109" s="1"/>
  <c r="A175" i="109" s="1"/>
  <c r="A176" i="109" s="1"/>
  <c r="A177" i="109" s="1"/>
  <c r="A178" i="109" s="1"/>
  <c r="A179" i="109" s="1"/>
  <c r="A180" i="109" s="1"/>
  <c r="A181" i="109" s="1"/>
  <c r="A182" i="109" s="1"/>
  <c r="A183" i="109" s="1"/>
  <c r="A184" i="109" s="1"/>
  <c r="A185" i="109" s="1"/>
  <c r="A186" i="109" s="1"/>
  <c r="A187" i="109" s="1"/>
  <c r="A49" i="109"/>
  <c r="S4" i="112"/>
  <c r="H44" i="58" l="1"/>
  <c r="G44" i="58"/>
  <c r="T4" i="112"/>
  <c r="U4" i="112" s="1"/>
  <c r="V4" i="112" s="1"/>
  <c r="W4" i="112" s="1"/>
  <c r="X4" i="112" s="1"/>
  <c r="Y4" i="112" s="1"/>
  <c r="Z4" i="112" s="1"/>
  <c r="AA4" i="112" s="1"/>
  <c r="AB4" i="112" s="1"/>
  <c r="AC4" i="112" l="1"/>
  <c r="I4" i="58"/>
  <c r="I5" i="58"/>
  <c r="I6" i="58"/>
  <c r="I7" i="58"/>
  <c r="I8" i="58"/>
  <c r="I9" i="58"/>
  <c r="I10" i="58"/>
  <c r="I11" i="58"/>
  <c r="I13" i="58"/>
  <c r="A34" i="125"/>
  <c r="A35" i="125" s="1"/>
  <c r="A36" i="125" s="1"/>
  <c r="A37" i="125" s="1"/>
  <c r="A38" i="125" s="1"/>
  <c r="A39" i="125" s="1"/>
  <c r="A40" i="125" s="1"/>
  <c r="A41" i="125" s="1"/>
  <c r="A42" i="125" s="1"/>
  <c r="B42" i="125"/>
  <c r="B41" i="125"/>
  <c r="B40" i="125"/>
  <c r="B39" i="125"/>
  <c r="B38" i="125"/>
  <c r="B37" i="125"/>
  <c r="B36" i="125"/>
  <c r="B35" i="125"/>
  <c r="R2" i="125"/>
  <c r="AD4" i="112" l="1"/>
  <c r="AG4" i="112" s="1"/>
  <c r="D35" i="125" l="1"/>
  <c r="L35" i="125" l="1"/>
  <c r="H35" i="125"/>
  <c r="C35" i="125"/>
  <c r="C30" i="125" s="1"/>
  <c r="G35" i="125" l="1"/>
  <c r="J35" i="125" s="1"/>
  <c r="K35" i="125"/>
  <c r="N35" i="125" s="1"/>
  <c r="F35" i="125"/>
  <c r="C20" i="58" l="1"/>
  <c r="D36" i="125"/>
  <c r="I20" i="58" l="1"/>
  <c r="G20" i="58"/>
  <c r="L36" i="125"/>
  <c r="H36" i="125"/>
  <c r="C36" i="125"/>
  <c r="K36" i="125" l="1"/>
  <c r="N36" i="125" s="1"/>
  <c r="G36" i="125"/>
  <c r="J36" i="125" s="1"/>
  <c r="F36" i="125"/>
  <c r="D37" i="125" l="1"/>
  <c r="L37" i="125" l="1"/>
  <c r="H37" i="125"/>
  <c r="C37" i="125"/>
  <c r="K37" i="125" l="1"/>
  <c r="N37" i="125" s="1"/>
  <c r="G37" i="125"/>
  <c r="J37" i="125" s="1"/>
  <c r="F37" i="125"/>
  <c r="D38" i="125" l="1"/>
  <c r="L38" i="125" l="1"/>
  <c r="H38" i="125"/>
  <c r="C38" i="125"/>
  <c r="K38" i="125" l="1"/>
  <c r="N38" i="125" s="1"/>
  <c r="G38" i="125"/>
  <c r="J38" i="125" s="1"/>
  <c r="F38" i="125"/>
  <c r="D39" i="125" l="1"/>
  <c r="L39" i="125" l="1"/>
  <c r="H39" i="125"/>
  <c r="C39" i="125"/>
  <c r="K39" i="125" s="1"/>
  <c r="G39" i="125" l="1"/>
  <c r="J39" i="125" s="1"/>
  <c r="N39" i="125"/>
  <c r="F39" i="125"/>
  <c r="D40" i="125" l="1"/>
  <c r="H40" i="125" l="1"/>
  <c r="L40" i="125"/>
  <c r="C40" i="125"/>
  <c r="G40" i="125" l="1"/>
  <c r="J40" i="125" s="1"/>
  <c r="K40" i="125"/>
  <c r="N40" i="125" s="1"/>
  <c r="F40" i="125"/>
  <c r="D41" i="125" l="1"/>
  <c r="H41" i="125" l="1"/>
  <c r="L41" i="125"/>
  <c r="C41" i="125"/>
  <c r="G41" i="125" l="1"/>
  <c r="J41" i="125" s="1"/>
  <c r="K41" i="125"/>
  <c r="N41" i="125" s="1"/>
  <c r="F41" i="125"/>
  <c r="D42" i="125" l="1"/>
  <c r="H42" i="125" l="1"/>
  <c r="L42" i="125"/>
  <c r="C42" i="125"/>
  <c r="K42" i="125" l="1"/>
  <c r="N42" i="125" s="1"/>
  <c r="G42" i="125"/>
  <c r="J42" i="125" s="1"/>
  <c r="F42" i="125"/>
  <c r="L43" i="125" l="1"/>
  <c r="J43" i="125" l="1"/>
  <c r="N43" i="125"/>
  <c r="AP36" i="111"/>
  <c r="B11" i="58"/>
  <c r="I24" i="58" l="1"/>
  <c r="AO21" i="111"/>
  <c r="AO22" i="111"/>
  <c r="AO23" i="111"/>
  <c r="AO24" i="111"/>
  <c r="AP6" i="111"/>
  <c r="G24" i="58" l="1"/>
  <c r="B6" i="109"/>
  <c r="H12" i="58"/>
  <c r="H14" i="58"/>
  <c r="H15" i="58"/>
  <c r="G14" i="112" l="1"/>
  <c r="C21" i="58"/>
  <c r="C41" i="58"/>
  <c r="C42" i="58"/>
  <c r="I14" i="58"/>
  <c r="I42" i="58" l="1"/>
  <c r="G42" i="58"/>
  <c r="G23" i="58"/>
  <c r="I23" i="58"/>
  <c r="G41" i="58"/>
  <c r="I41" i="58"/>
  <c r="I21" i="58"/>
  <c r="G21" i="58"/>
  <c r="G14" i="58"/>
  <c r="H4" i="58" l="1"/>
  <c r="G4" i="58" l="1"/>
  <c r="H2" i="112" l="1"/>
  <c r="H14" i="112" l="1"/>
  <c r="I2" i="112"/>
  <c r="J2" i="112" s="1"/>
  <c r="K2" i="112" s="1"/>
  <c r="J14" i="112" l="1"/>
  <c r="I14" i="112"/>
  <c r="L2" i="112"/>
  <c r="K14" i="112"/>
  <c r="M2" i="112" l="1"/>
  <c r="L14" i="112"/>
  <c r="N2" i="112" l="1"/>
  <c r="M14" i="112"/>
  <c r="O2" i="112" l="1"/>
  <c r="N14" i="112"/>
  <c r="O14" i="112" l="1"/>
  <c r="P2" i="112"/>
  <c r="P14" i="112" l="1"/>
  <c r="Q2" i="112"/>
  <c r="R2" i="112" l="1"/>
  <c r="Q14" i="112"/>
  <c r="S14" i="112" l="1"/>
  <c r="R14" i="112"/>
  <c r="D23" i="120"/>
  <c r="C39" i="115"/>
  <c r="C39" i="116"/>
  <c r="C38" i="116"/>
  <c r="T14" i="112" l="1"/>
  <c r="U14" i="112" l="1"/>
  <c r="V14" i="112" l="1"/>
  <c r="C45" i="118"/>
  <c r="W14" i="112" l="1"/>
  <c r="D24" i="120"/>
  <c r="D22" i="120"/>
  <c r="D21" i="120"/>
  <c r="D20" i="120"/>
  <c r="D19" i="120"/>
  <c r="D18" i="120"/>
  <c r="D17" i="120"/>
  <c r="D16" i="120"/>
  <c r="D15" i="120"/>
  <c r="D14" i="120"/>
  <c r="I13" i="120"/>
  <c r="I14" i="120" s="1"/>
  <c r="I15" i="120" s="1"/>
  <c r="I16" i="120" s="1"/>
  <c r="I17" i="120" s="1"/>
  <c r="I18" i="120" s="1"/>
  <c r="I19" i="120" s="1"/>
  <c r="I20" i="120" s="1"/>
  <c r="I21" i="120" s="1"/>
  <c r="I22" i="120" s="1"/>
  <c r="I23" i="120" s="1"/>
  <c r="I24" i="120" s="1"/>
  <c r="I25" i="120" s="1"/>
  <c r="I26" i="120" s="1"/>
  <c r="I27" i="120" s="1"/>
  <c r="I28" i="120" s="1"/>
  <c r="I29" i="120" s="1"/>
  <c r="I30" i="120" s="1"/>
  <c r="I31" i="120" s="1"/>
  <c r="I32" i="120" s="1"/>
  <c r="I33" i="120" s="1"/>
  <c r="I34" i="120" s="1"/>
  <c r="I35" i="120" s="1"/>
  <c r="I36" i="120" s="1"/>
  <c r="I37" i="120" s="1"/>
  <c r="I38" i="120" s="1"/>
  <c r="I39" i="120" s="1"/>
  <c r="I40" i="120" s="1"/>
  <c r="I41" i="120" s="1"/>
  <c r="I42" i="120" s="1"/>
  <c r="I43" i="120" s="1"/>
  <c r="I44" i="120" s="1"/>
  <c r="I45" i="120" s="1"/>
  <c r="I46" i="120" s="1"/>
  <c r="I47" i="120" s="1"/>
  <c r="I48" i="120" s="1"/>
  <c r="I49" i="120" s="1"/>
  <c r="I50" i="120" s="1"/>
  <c r="I51" i="120" s="1"/>
  <c r="I52" i="120" s="1"/>
  <c r="I53" i="120" s="1"/>
  <c r="I54" i="120" s="1"/>
  <c r="I55" i="120" s="1"/>
  <c r="I56" i="120" s="1"/>
  <c r="I57" i="120" s="1"/>
  <c r="I58" i="120" s="1"/>
  <c r="I59" i="120" s="1"/>
  <c r="I60" i="120" s="1"/>
  <c r="I61" i="120" s="1"/>
  <c r="I62" i="120" s="1"/>
  <c r="I63" i="120" s="1"/>
  <c r="I64" i="120" s="1"/>
  <c r="I65" i="120" s="1"/>
  <c r="I66" i="120" s="1"/>
  <c r="I67" i="120" s="1"/>
  <c r="I68" i="120" s="1"/>
  <c r="I69" i="120" s="1"/>
  <c r="D13" i="120"/>
  <c r="I12" i="120"/>
  <c r="D12" i="120"/>
  <c r="A12" i="120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I11" i="120"/>
  <c r="F11" i="120"/>
  <c r="E11" i="120" s="1"/>
  <c r="D11" i="120"/>
  <c r="A11" i="120"/>
  <c r="F10" i="120"/>
  <c r="E10" i="120"/>
  <c r="G10" i="120" s="1"/>
  <c r="C10" i="120"/>
  <c r="G9" i="120"/>
  <c r="C9" i="120"/>
  <c r="A4" i="120"/>
  <c r="C29" i="119"/>
  <c r="C28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H12" i="119"/>
  <c r="H13" i="119" s="1"/>
  <c r="H14" i="119" s="1"/>
  <c r="H15" i="119" s="1"/>
  <c r="H16" i="119" s="1"/>
  <c r="H17" i="119" s="1"/>
  <c r="H18" i="119" s="1"/>
  <c r="H19" i="119" s="1"/>
  <c r="H20" i="119" s="1"/>
  <c r="H21" i="119" s="1"/>
  <c r="H22" i="119" s="1"/>
  <c r="H23" i="119" s="1"/>
  <c r="H24" i="119" s="1"/>
  <c r="H25" i="119" s="1"/>
  <c r="H26" i="119" s="1"/>
  <c r="H27" i="119" s="1"/>
  <c r="H28" i="119" s="1"/>
  <c r="H29" i="119" s="1"/>
  <c r="H30" i="119" s="1"/>
  <c r="H31" i="119" s="1"/>
  <c r="H32" i="119" s="1"/>
  <c r="H33" i="119" s="1"/>
  <c r="H34" i="119" s="1"/>
  <c r="H35" i="119" s="1"/>
  <c r="H36" i="119" s="1"/>
  <c r="H37" i="119" s="1"/>
  <c r="H38" i="119" s="1"/>
  <c r="H39" i="119" s="1"/>
  <c r="H40" i="119" s="1"/>
  <c r="H41" i="119" s="1"/>
  <c r="H42" i="119" s="1"/>
  <c r="H43" i="119" s="1"/>
  <c r="H44" i="119" s="1"/>
  <c r="H45" i="119" s="1"/>
  <c r="H46" i="119" s="1"/>
  <c r="H47" i="119" s="1"/>
  <c r="H48" i="119" s="1"/>
  <c r="H49" i="119" s="1"/>
  <c r="H50" i="119" s="1"/>
  <c r="H51" i="119" s="1"/>
  <c r="H52" i="119" s="1"/>
  <c r="H53" i="119" s="1"/>
  <c r="H54" i="119" s="1"/>
  <c r="H55" i="119" s="1"/>
  <c r="H56" i="119" s="1"/>
  <c r="H57" i="119" s="1"/>
  <c r="H58" i="119" s="1"/>
  <c r="H59" i="119" s="1"/>
  <c r="H60" i="119" s="1"/>
  <c r="H61" i="119" s="1"/>
  <c r="H62" i="119" s="1"/>
  <c r="H63" i="119" s="1"/>
  <c r="H64" i="119" s="1"/>
  <c r="H65" i="119" s="1"/>
  <c r="H66" i="119" s="1"/>
  <c r="H67" i="119" s="1"/>
  <c r="H68" i="119" s="1"/>
  <c r="C12" i="119"/>
  <c r="H11" i="119"/>
  <c r="C11" i="119"/>
  <c r="A11" i="119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A38" i="119" s="1"/>
  <c r="A39" i="119" s="1"/>
  <c r="A40" i="119" s="1"/>
  <c r="A41" i="119" s="1"/>
  <c r="A42" i="119" s="1"/>
  <c r="A43" i="119" s="1"/>
  <c r="A44" i="119" s="1"/>
  <c r="A45" i="119" s="1"/>
  <c r="A46" i="119" s="1"/>
  <c r="A47" i="119" s="1"/>
  <c r="A48" i="119" s="1"/>
  <c r="A49" i="119" s="1"/>
  <c r="A50" i="119" s="1"/>
  <c r="A51" i="119" s="1"/>
  <c r="A52" i="119" s="1"/>
  <c r="A53" i="119" s="1"/>
  <c r="A54" i="119" s="1"/>
  <c r="A55" i="119" s="1"/>
  <c r="A56" i="119" s="1"/>
  <c r="A57" i="119" s="1"/>
  <c r="A58" i="119" s="1"/>
  <c r="A59" i="119" s="1"/>
  <c r="A60" i="119" s="1"/>
  <c r="A61" i="119" s="1"/>
  <c r="A62" i="119" s="1"/>
  <c r="A63" i="119" s="1"/>
  <c r="A64" i="119" s="1"/>
  <c r="A65" i="119" s="1"/>
  <c r="A66" i="119" s="1"/>
  <c r="A67" i="119" s="1"/>
  <c r="A68" i="119" s="1"/>
  <c r="F9" i="119"/>
  <c r="A4" i="119"/>
  <c r="C44" i="118"/>
  <c r="C42" i="118"/>
  <c r="C41" i="118"/>
  <c r="C40" i="118"/>
  <c r="C39" i="118"/>
  <c r="C37" i="118"/>
  <c r="C36" i="118"/>
  <c r="C35" i="118"/>
  <c r="C34" i="118"/>
  <c r="C33" i="118"/>
  <c r="C32" i="118"/>
  <c r="C31" i="118"/>
  <c r="C30" i="118"/>
  <c r="C29" i="118"/>
  <c r="C28" i="118"/>
  <c r="C27" i="118"/>
  <c r="C26" i="118"/>
  <c r="C25" i="118"/>
  <c r="C24" i="118"/>
  <c r="C23" i="118"/>
  <c r="C22" i="118"/>
  <c r="C21" i="118"/>
  <c r="C19" i="118"/>
  <c r="C18" i="118"/>
  <c r="C17" i="118"/>
  <c r="C16" i="118"/>
  <c r="C15" i="118"/>
  <c r="C14" i="118"/>
  <c r="C13" i="118"/>
  <c r="C12" i="118"/>
  <c r="H11" i="118"/>
  <c r="H12" i="118" s="1"/>
  <c r="H13" i="118" s="1"/>
  <c r="H14" i="118" s="1"/>
  <c r="H15" i="118" s="1"/>
  <c r="H16" i="118" s="1"/>
  <c r="H17" i="118" s="1"/>
  <c r="H18" i="118" s="1"/>
  <c r="H19" i="118" s="1"/>
  <c r="H20" i="118" s="1"/>
  <c r="H21" i="118" s="1"/>
  <c r="H22" i="118" s="1"/>
  <c r="H23" i="118" s="1"/>
  <c r="H24" i="118" s="1"/>
  <c r="H25" i="118" s="1"/>
  <c r="H26" i="118" s="1"/>
  <c r="H27" i="118" s="1"/>
  <c r="H28" i="118" s="1"/>
  <c r="H29" i="118" s="1"/>
  <c r="H30" i="118" s="1"/>
  <c r="H31" i="118" s="1"/>
  <c r="H32" i="118" s="1"/>
  <c r="H33" i="118" s="1"/>
  <c r="H34" i="118" s="1"/>
  <c r="H35" i="118" s="1"/>
  <c r="H36" i="118" s="1"/>
  <c r="H37" i="118" s="1"/>
  <c r="H38" i="118" s="1"/>
  <c r="H39" i="118" s="1"/>
  <c r="H40" i="118" s="1"/>
  <c r="H41" i="118" s="1"/>
  <c r="H42" i="118" s="1"/>
  <c r="H43" i="118" s="1"/>
  <c r="H44" i="118" s="1"/>
  <c r="H45" i="118" s="1"/>
  <c r="H46" i="118" s="1"/>
  <c r="H47" i="118" s="1"/>
  <c r="H48" i="118" s="1"/>
  <c r="H49" i="118" s="1"/>
  <c r="H50" i="118" s="1"/>
  <c r="C11" i="118"/>
  <c r="A11" i="118"/>
  <c r="A12" i="118" s="1"/>
  <c r="A13" i="118" s="1"/>
  <c r="A14" i="118" s="1"/>
  <c r="A15" i="118" s="1"/>
  <c r="A16" i="118" s="1"/>
  <c r="A17" i="118" s="1"/>
  <c r="A18" i="118" s="1"/>
  <c r="A19" i="118" s="1"/>
  <c r="A20" i="118" s="1"/>
  <c r="A21" i="118" s="1"/>
  <c r="A22" i="118" s="1"/>
  <c r="A23" i="118" s="1"/>
  <c r="A24" i="118" s="1"/>
  <c r="A25" i="118" s="1"/>
  <c r="A26" i="118" s="1"/>
  <c r="A27" i="118" s="1"/>
  <c r="A28" i="118" s="1"/>
  <c r="A29" i="118" s="1"/>
  <c r="A30" i="118" s="1"/>
  <c r="A31" i="118" s="1"/>
  <c r="A32" i="118" s="1"/>
  <c r="A33" i="118" s="1"/>
  <c r="A34" i="118" s="1"/>
  <c r="A35" i="118" s="1"/>
  <c r="A36" i="118" s="1"/>
  <c r="A37" i="118" s="1"/>
  <c r="A38" i="118" s="1"/>
  <c r="C10" i="118"/>
  <c r="F9" i="118"/>
  <c r="A4" i="118"/>
  <c r="C44" i="117"/>
  <c r="C43" i="117"/>
  <c r="C42" i="117"/>
  <c r="C40" i="117"/>
  <c r="C39" i="117"/>
  <c r="C37" i="117"/>
  <c r="C36" i="117"/>
  <c r="C35" i="117"/>
  <c r="C34" i="117"/>
  <c r="C33" i="117"/>
  <c r="C32" i="117"/>
  <c r="C31" i="117"/>
  <c r="C30" i="117"/>
  <c r="C29" i="117"/>
  <c r="C28" i="117"/>
  <c r="C27" i="117"/>
  <c r="C26" i="117"/>
  <c r="C24" i="117"/>
  <c r="C22" i="117"/>
  <c r="C20" i="117"/>
  <c r="C18" i="117"/>
  <c r="C17" i="117"/>
  <c r="C16" i="117"/>
  <c r="C15" i="117"/>
  <c r="C14" i="117"/>
  <c r="C13" i="117"/>
  <c r="C12" i="117"/>
  <c r="H11" i="117"/>
  <c r="H12" i="117" s="1"/>
  <c r="H13" i="117" s="1"/>
  <c r="H14" i="117" s="1"/>
  <c r="H15" i="117" s="1"/>
  <c r="H16" i="117" s="1"/>
  <c r="H17" i="117" s="1"/>
  <c r="H18" i="117" s="1"/>
  <c r="H19" i="117" s="1"/>
  <c r="H20" i="117" s="1"/>
  <c r="H21" i="117" s="1"/>
  <c r="H22" i="117" s="1"/>
  <c r="H23" i="117" s="1"/>
  <c r="H24" i="117" s="1"/>
  <c r="H25" i="117" s="1"/>
  <c r="H26" i="117" s="1"/>
  <c r="H27" i="117" s="1"/>
  <c r="H28" i="117" s="1"/>
  <c r="H29" i="117" s="1"/>
  <c r="H30" i="117" s="1"/>
  <c r="H31" i="117" s="1"/>
  <c r="H32" i="117" s="1"/>
  <c r="H33" i="117" s="1"/>
  <c r="H34" i="117" s="1"/>
  <c r="H35" i="117" s="1"/>
  <c r="H36" i="117" s="1"/>
  <c r="H37" i="117" s="1"/>
  <c r="H38" i="117" s="1"/>
  <c r="H39" i="117" s="1"/>
  <c r="H40" i="117" s="1"/>
  <c r="H41" i="117" s="1"/>
  <c r="H42" i="117" s="1"/>
  <c r="H43" i="117" s="1"/>
  <c r="H44" i="117" s="1"/>
  <c r="H45" i="117" s="1"/>
  <c r="H46" i="117" s="1"/>
  <c r="H47" i="117" s="1"/>
  <c r="H48" i="117" s="1"/>
  <c r="H49" i="117" s="1"/>
  <c r="H50" i="117" s="1"/>
  <c r="H51" i="117" s="1"/>
  <c r="H52" i="117" s="1"/>
  <c r="H53" i="117" s="1"/>
  <c r="H54" i="117" s="1"/>
  <c r="H55" i="117" s="1"/>
  <c r="H56" i="117" s="1"/>
  <c r="H57" i="117" s="1"/>
  <c r="H58" i="117" s="1"/>
  <c r="H59" i="117" s="1"/>
  <c r="H60" i="117" s="1"/>
  <c r="H61" i="117" s="1"/>
  <c r="H62" i="117" s="1"/>
  <c r="C11" i="117"/>
  <c r="A11" i="117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A38" i="117" s="1"/>
  <c r="A39" i="117" s="1"/>
  <c r="A40" i="117" s="1"/>
  <c r="A41" i="117" s="1"/>
  <c r="A42" i="117" s="1"/>
  <c r="A43" i="117" s="1"/>
  <c r="A44" i="117" s="1"/>
  <c r="A45" i="117" s="1"/>
  <c r="A46" i="117" s="1"/>
  <c r="A47" i="117" s="1"/>
  <c r="A48" i="117" s="1"/>
  <c r="A49" i="117" s="1"/>
  <c r="A50" i="117" s="1"/>
  <c r="A51" i="117" s="1"/>
  <c r="A52" i="117" s="1"/>
  <c r="A53" i="117" s="1"/>
  <c r="A54" i="117" s="1"/>
  <c r="A55" i="117" s="1"/>
  <c r="A56" i="117" s="1"/>
  <c r="A57" i="117" s="1"/>
  <c r="A58" i="117" s="1"/>
  <c r="A59" i="117" s="1"/>
  <c r="A60" i="117" s="1"/>
  <c r="A61" i="117" s="1"/>
  <c r="A62" i="117" s="1"/>
  <c r="E10" i="117"/>
  <c r="C10" i="117"/>
  <c r="D10" i="117" s="1"/>
  <c r="F9" i="117"/>
  <c r="A4" i="117"/>
  <c r="C44" i="116"/>
  <c r="C43" i="116"/>
  <c r="C42" i="116"/>
  <c r="C41" i="116"/>
  <c r="C40" i="116"/>
  <c r="C37" i="116"/>
  <c r="C36" i="116"/>
  <c r="C35" i="116"/>
  <c r="C34" i="116"/>
  <c r="C33" i="116"/>
  <c r="C32" i="116"/>
  <c r="C31" i="116"/>
  <c r="C30" i="116"/>
  <c r="C29" i="116"/>
  <c r="C28" i="116"/>
  <c r="C27" i="116"/>
  <c r="C26" i="116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H11" i="116"/>
  <c r="H12" i="116" s="1"/>
  <c r="H13" i="116" s="1"/>
  <c r="H14" i="116" s="1"/>
  <c r="H15" i="116" s="1"/>
  <c r="H16" i="116" s="1"/>
  <c r="H17" i="116" s="1"/>
  <c r="H18" i="116" s="1"/>
  <c r="H19" i="116" s="1"/>
  <c r="H20" i="116" s="1"/>
  <c r="H21" i="116" s="1"/>
  <c r="H22" i="116" s="1"/>
  <c r="H23" i="116" s="1"/>
  <c r="H24" i="116" s="1"/>
  <c r="H25" i="116" s="1"/>
  <c r="H26" i="116" s="1"/>
  <c r="H27" i="116" s="1"/>
  <c r="H28" i="116" s="1"/>
  <c r="H29" i="116" s="1"/>
  <c r="H30" i="116" s="1"/>
  <c r="H31" i="116" s="1"/>
  <c r="H32" i="116" s="1"/>
  <c r="H33" i="116" s="1"/>
  <c r="H34" i="116" s="1"/>
  <c r="H35" i="116" s="1"/>
  <c r="H36" i="116" s="1"/>
  <c r="H37" i="116" s="1"/>
  <c r="H38" i="116" s="1"/>
  <c r="H39" i="116" s="1"/>
  <c r="H40" i="116" s="1"/>
  <c r="H41" i="116" s="1"/>
  <c r="H42" i="116" s="1"/>
  <c r="H43" i="116" s="1"/>
  <c r="H44" i="116" s="1"/>
  <c r="H45" i="116" s="1"/>
  <c r="H46" i="116" s="1"/>
  <c r="H47" i="116" s="1"/>
  <c r="H48" i="116" s="1"/>
  <c r="H49" i="116" s="1"/>
  <c r="H50" i="116" s="1"/>
  <c r="H51" i="116" s="1"/>
  <c r="H52" i="116" s="1"/>
  <c r="H53" i="116" s="1"/>
  <c r="H54" i="116" s="1"/>
  <c r="H55" i="116" s="1"/>
  <c r="H56" i="116" s="1"/>
  <c r="H57" i="116" s="1"/>
  <c r="H58" i="116" s="1"/>
  <c r="H59" i="116" s="1"/>
  <c r="H60" i="116" s="1"/>
  <c r="H61" i="116" s="1"/>
  <c r="H62" i="116" s="1"/>
  <c r="H63" i="116" s="1"/>
  <c r="H64" i="116" s="1"/>
  <c r="H65" i="116" s="1"/>
  <c r="H66" i="116" s="1"/>
  <c r="H67" i="116" s="1"/>
  <c r="H68" i="116" s="1"/>
  <c r="H69" i="116" s="1"/>
  <c r="H70" i="116" s="1"/>
  <c r="A11" i="116"/>
  <c r="A12" i="116" s="1"/>
  <c r="A13" i="116" s="1"/>
  <c r="A14" i="116" s="1"/>
  <c r="A15" i="116" s="1"/>
  <c r="A16" i="116" s="1"/>
  <c r="A17" i="116" s="1"/>
  <c r="A18" i="116" s="1"/>
  <c r="A19" i="116" s="1"/>
  <c r="A20" i="116" s="1"/>
  <c r="A21" i="116" s="1"/>
  <c r="A22" i="116" s="1"/>
  <c r="A23" i="116" s="1"/>
  <c r="A24" i="116" s="1"/>
  <c r="A25" i="116" s="1"/>
  <c r="A26" i="116" s="1"/>
  <c r="A27" i="116" s="1"/>
  <c r="A28" i="116" s="1"/>
  <c r="A29" i="116" s="1"/>
  <c r="A30" i="116" s="1"/>
  <c r="A31" i="116" s="1"/>
  <c r="A32" i="116" s="1"/>
  <c r="A33" i="116" s="1"/>
  <c r="A34" i="116" s="1"/>
  <c r="A35" i="116" s="1"/>
  <c r="A36" i="116" s="1"/>
  <c r="A37" i="116" s="1"/>
  <c r="A38" i="116" s="1"/>
  <c r="A39" i="116" s="1"/>
  <c r="A40" i="116" s="1"/>
  <c r="A41" i="116" s="1"/>
  <c r="A42" i="116" s="1"/>
  <c r="A43" i="116" s="1"/>
  <c r="A44" i="116" s="1"/>
  <c r="A45" i="116" s="1"/>
  <c r="A46" i="116" s="1"/>
  <c r="A47" i="116" s="1"/>
  <c r="A48" i="116" s="1"/>
  <c r="A49" i="116" s="1"/>
  <c r="A50" i="116" s="1"/>
  <c r="A51" i="116" s="1"/>
  <c r="A52" i="116" s="1"/>
  <c r="A53" i="116" s="1"/>
  <c r="A54" i="116" s="1"/>
  <c r="A55" i="116" s="1"/>
  <c r="A56" i="116" s="1"/>
  <c r="A57" i="116" s="1"/>
  <c r="A58" i="116" s="1"/>
  <c r="A59" i="116" s="1"/>
  <c r="A60" i="116" s="1"/>
  <c r="A61" i="116" s="1"/>
  <c r="A62" i="116" s="1"/>
  <c r="A63" i="116" s="1"/>
  <c r="A64" i="116" s="1"/>
  <c r="A65" i="116" s="1"/>
  <c r="A66" i="116" s="1"/>
  <c r="A67" i="116" s="1"/>
  <c r="A68" i="116" s="1"/>
  <c r="A69" i="116" s="1"/>
  <c r="A70" i="116" s="1"/>
  <c r="F9" i="116"/>
  <c r="E10" i="116" s="1"/>
  <c r="D10" i="116" s="1"/>
  <c r="A4" i="116"/>
  <c r="C44" i="115"/>
  <c r="C43" i="115"/>
  <c r="C42" i="115"/>
  <c r="C41" i="115"/>
  <c r="C40" i="115"/>
  <c r="C3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H11" i="115"/>
  <c r="H12" i="115" s="1"/>
  <c r="H13" i="115" s="1"/>
  <c r="H14" i="115" s="1"/>
  <c r="H15" i="115" s="1"/>
  <c r="H16" i="115" s="1"/>
  <c r="H17" i="115" s="1"/>
  <c r="H18" i="115" s="1"/>
  <c r="H19" i="115" s="1"/>
  <c r="H20" i="115" s="1"/>
  <c r="H21" i="115" s="1"/>
  <c r="H22" i="115" s="1"/>
  <c r="H23" i="115" s="1"/>
  <c r="H24" i="115" s="1"/>
  <c r="H25" i="115" s="1"/>
  <c r="H26" i="115" s="1"/>
  <c r="H27" i="115" s="1"/>
  <c r="H28" i="115" s="1"/>
  <c r="H29" i="115" s="1"/>
  <c r="H30" i="115" s="1"/>
  <c r="H31" i="115" s="1"/>
  <c r="H32" i="115" s="1"/>
  <c r="H33" i="115" s="1"/>
  <c r="H34" i="115" s="1"/>
  <c r="H35" i="115" s="1"/>
  <c r="H36" i="115" s="1"/>
  <c r="H37" i="115" s="1"/>
  <c r="H38" i="115" s="1"/>
  <c r="H39" i="115" s="1"/>
  <c r="H40" i="115" s="1"/>
  <c r="H41" i="115" s="1"/>
  <c r="H42" i="115" s="1"/>
  <c r="H43" i="115" s="1"/>
  <c r="H44" i="115" s="1"/>
  <c r="H45" i="115" s="1"/>
  <c r="H46" i="115" s="1"/>
  <c r="H47" i="115" s="1"/>
  <c r="H48" i="115" s="1"/>
  <c r="H49" i="115" s="1"/>
  <c r="H50" i="115" s="1"/>
  <c r="H51" i="115" s="1"/>
  <c r="H52" i="115" s="1"/>
  <c r="H53" i="115" s="1"/>
  <c r="H54" i="115" s="1"/>
  <c r="H55" i="115" s="1"/>
  <c r="H56" i="115" s="1"/>
  <c r="H57" i="115" s="1"/>
  <c r="H58" i="115" s="1"/>
  <c r="H59" i="115" s="1"/>
  <c r="H60" i="115" s="1"/>
  <c r="H61" i="115" s="1"/>
  <c r="H62" i="115" s="1"/>
  <c r="H63" i="115" s="1"/>
  <c r="H64" i="115" s="1"/>
  <c r="H65" i="115" s="1"/>
  <c r="H66" i="115" s="1"/>
  <c r="H67" i="115" s="1"/>
  <c r="H68" i="115" s="1"/>
  <c r="H69" i="115" s="1"/>
  <c r="C11" i="115"/>
  <c r="A11" i="115"/>
  <c r="A12" i="115" s="1"/>
  <c r="A13" i="115" s="1"/>
  <c r="A14" i="115" s="1"/>
  <c r="A15" i="115" s="1"/>
  <c r="A16" i="115" s="1"/>
  <c r="A17" i="115" s="1"/>
  <c r="A18" i="115" s="1"/>
  <c r="A19" i="115" s="1"/>
  <c r="A20" i="115" s="1"/>
  <c r="A21" i="115" s="1"/>
  <c r="A22" i="115" s="1"/>
  <c r="A23" i="115" s="1"/>
  <c r="A24" i="115" s="1"/>
  <c r="A25" i="115" s="1"/>
  <c r="A26" i="115" s="1"/>
  <c r="A27" i="115" s="1"/>
  <c r="A28" i="115" s="1"/>
  <c r="A29" i="115" s="1"/>
  <c r="A30" i="115" s="1"/>
  <c r="A31" i="115" s="1"/>
  <c r="A32" i="115" s="1"/>
  <c r="A33" i="115" s="1"/>
  <c r="A34" i="115" s="1"/>
  <c r="A35" i="115" s="1"/>
  <c r="A36" i="115" s="1"/>
  <c r="A37" i="115" s="1"/>
  <c r="A38" i="115" s="1"/>
  <c r="A39" i="115" s="1"/>
  <c r="A40" i="115" s="1"/>
  <c r="A41" i="115" s="1"/>
  <c r="A42" i="115" s="1"/>
  <c r="A43" i="115" s="1"/>
  <c r="A44" i="115" s="1"/>
  <c r="A45" i="115" s="1"/>
  <c r="A46" i="115" s="1"/>
  <c r="A47" i="115" s="1"/>
  <c r="A48" i="115" s="1"/>
  <c r="A49" i="115" s="1"/>
  <c r="A50" i="115" s="1"/>
  <c r="A51" i="115" s="1"/>
  <c r="A52" i="115" s="1"/>
  <c r="A53" i="115" s="1"/>
  <c r="A54" i="115" s="1"/>
  <c r="A55" i="115" s="1"/>
  <c r="A56" i="115" s="1"/>
  <c r="A57" i="115" s="1"/>
  <c r="A58" i="115" s="1"/>
  <c r="A59" i="115" s="1"/>
  <c r="A60" i="115" s="1"/>
  <c r="A61" i="115" s="1"/>
  <c r="A62" i="115" s="1"/>
  <c r="A63" i="115" s="1"/>
  <c r="A64" i="115" s="1"/>
  <c r="A65" i="115" s="1"/>
  <c r="A66" i="115" s="1"/>
  <c r="A67" i="115" s="1"/>
  <c r="A68" i="115" s="1"/>
  <c r="A69" i="115" s="1"/>
  <c r="C10" i="115"/>
  <c r="F9" i="115"/>
  <c r="A4" i="115"/>
  <c r="X14" i="112" l="1"/>
  <c r="G11" i="120"/>
  <c r="C11" i="120"/>
  <c r="E10" i="119"/>
  <c r="D10" i="119" s="1"/>
  <c r="F10" i="119" s="1"/>
  <c r="E10" i="118"/>
  <c r="D10" i="118" s="1"/>
  <c r="F10" i="117"/>
  <c r="F10" i="116"/>
  <c r="E10" i="115"/>
  <c r="D10" i="115" s="1"/>
  <c r="F10" i="115" s="1"/>
  <c r="Y14" i="112" l="1"/>
  <c r="F12" i="120"/>
  <c r="E12" i="120" s="1"/>
  <c r="G12" i="120" s="1"/>
  <c r="C12" i="120"/>
  <c r="E11" i="119"/>
  <c r="D11" i="119" s="1"/>
  <c r="F11" i="119" s="1"/>
  <c r="F10" i="118"/>
  <c r="E11" i="117"/>
  <c r="D11" i="117" s="1"/>
  <c r="F11" i="117" s="1"/>
  <c r="E11" i="116"/>
  <c r="D11" i="116" s="1"/>
  <c r="E11" i="115"/>
  <c r="D11" i="115" s="1"/>
  <c r="F11" i="115" s="1"/>
  <c r="Z14" i="112" l="1"/>
  <c r="AA14" i="112"/>
  <c r="F13" i="120"/>
  <c r="E13" i="120" s="1"/>
  <c r="G13" i="120" s="1"/>
  <c r="C13" i="120"/>
  <c r="E12" i="119"/>
  <c r="D12" i="119" s="1"/>
  <c r="E11" i="118"/>
  <c r="D11" i="118" s="1"/>
  <c r="F11" i="118" s="1"/>
  <c r="E12" i="117"/>
  <c r="D12" i="117" s="1"/>
  <c r="F12" i="117" s="1"/>
  <c r="F11" i="116"/>
  <c r="E12" i="115"/>
  <c r="D12" i="115" s="1"/>
  <c r="F12" i="115"/>
  <c r="F14" i="120" l="1"/>
  <c r="E14" i="120" s="1"/>
  <c r="C14" i="120"/>
  <c r="F12" i="119"/>
  <c r="E12" i="118"/>
  <c r="D12" i="118" s="1"/>
  <c r="F12" i="118" s="1"/>
  <c r="E13" i="117"/>
  <c r="D13" i="117" s="1"/>
  <c r="E12" i="116"/>
  <c r="D12" i="116" s="1"/>
  <c r="E13" i="115"/>
  <c r="D13" i="115" s="1"/>
  <c r="F13" i="115" s="1"/>
  <c r="G14" i="120" l="1"/>
  <c r="E13" i="119"/>
  <c r="D13" i="119" s="1"/>
  <c r="E13" i="118"/>
  <c r="D13" i="118" s="1"/>
  <c r="F13" i="118" s="1"/>
  <c r="F13" i="117"/>
  <c r="F12" i="116"/>
  <c r="E14" i="115"/>
  <c r="D14" i="115" s="1"/>
  <c r="C15" i="120" l="1"/>
  <c r="F15" i="120"/>
  <c r="E15" i="120" s="1"/>
  <c r="G15" i="120" s="1"/>
  <c r="F13" i="119"/>
  <c r="E14" i="118"/>
  <c r="D14" i="118" s="1"/>
  <c r="F14" i="118" s="1"/>
  <c r="E14" i="117"/>
  <c r="D14" i="117" s="1"/>
  <c r="F14" i="117" s="1"/>
  <c r="E13" i="116"/>
  <c r="D13" i="116" s="1"/>
  <c r="F13" i="116" s="1"/>
  <c r="F14" i="115"/>
  <c r="F16" i="120" l="1"/>
  <c r="E16" i="120" s="1"/>
  <c r="G16" i="120" s="1"/>
  <c r="C16" i="120"/>
  <c r="E14" i="119"/>
  <c r="D14" i="119" s="1"/>
  <c r="F14" i="119" s="1"/>
  <c r="E15" i="118"/>
  <c r="D15" i="118" s="1"/>
  <c r="F15" i="118" s="1"/>
  <c r="E15" i="117"/>
  <c r="D15" i="117" s="1"/>
  <c r="F15" i="117"/>
  <c r="E14" i="116"/>
  <c r="D14" i="116" s="1"/>
  <c r="F14" i="116" s="1"/>
  <c r="E15" i="115"/>
  <c r="D15" i="115" s="1"/>
  <c r="F15" i="115" s="1"/>
  <c r="C17" i="120" l="1"/>
  <c r="F17" i="120"/>
  <c r="E17" i="120" s="1"/>
  <c r="G17" i="120" s="1"/>
  <c r="E15" i="119"/>
  <c r="D15" i="119" s="1"/>
  <c r="F15" i="119" s="1"/>
  <c r="E16" i="118"/>
  <c r="D16" i="118" s="1"/>
  <c r="F16" i="118" s="1"/>
  <c r="E16" i="117"/>
  <c r="D16" i="117" s="1"/>
  <c r="F16" i="117" s="1"/>
  <c r="E15" i="116"/>
  <c r="D15" i="116" s="1"/>
  <c r="F15" i="116" s="1"/>
  <c r="E16" i="115"/>
  <c r="D16" i="115" s="1"/>
  <c r="F16" i="115" s="1"/>
  <c r="C18" i="120" l="1"/>
  <c r="F18" i="120"/>
  <c r="E18" i="120" s="1"/>
  <c r="G18" i="120" s="1"/>
  <c r="E16" i="119"/>
  <c r="D16" i="119" s="1"/>
  <c r="F16" i="119" s="1"/>
  <c r="E17" i="118"/>
  <c r="D17" i="118" s="1"/>
  <c r="F17" i="118" s="1"/>
  <c r="E17" i="117"/>
  <c r="D17" i="117" s="1"/>
  <c r="F17" i="117" s="1"/>
  <c r="E16" i="116"/>
  <c r="D16" i="116" s="1"/>
  <c r="F16" i="116" s="1"/>
  <c r="E17" i="115"/>
  <c r="D17" i="115" s="1"/>
  <c r="F17" i="115" s="1"/>
  <c r="C19" i="120" l="1"/>
  <c r="G19" i="120"/>
  <c r="F19" i="120"/>
  <c r="E19" i="120" s="1"/>
  <c r="E17" i="119"/>
  <c r="D17" i="119" s="1"/>
  <c r="F17" i="119" s="1"/>
  <c r="E18" i="118"/>
  <c r="D18" i="118" s="1"/>
  <c r="F18" i="118" s="1"/>
  <c r="E18" i="117"/>
  <c r="D18" i="117" s="1"/>
  <c r="F18" i="117" s="1"/>
  <c r="E17" i="116"/>
  <c r="D17" i="116" s="1"/>
  <c r="F17" i="116" s="1"/>
  <c r="F18" i="115"/>
  <c r="E18" i="115"/>
  <c r="D18" i="115" s="1"/>
  <c r="F20" i="120" l="1"/>
  <c r="E20" i="120" s="1"/>
  <c r="C20" i="120"/>
  <c r="G20" i="120"/>
  <c r="E18" i="119"/>
  <c r="D18" i="119" s="1"/>
  <c r="F18" i="119" s="1"/>
  <c r="E19" i="118"/>
  <c r="D19" i="118" s="1"/>
  <c r="F19" i="118" s="1"/>
  <c r="F19" i="117"/>
  <c r="E19" i="117"/>
  <c r="E18" i="116"/>
  <c r="D18" i="116" s="1"/>
  <c r="F18" i="116" s="1"/>
  <c r="E19" i="115"/>
  <c r="D19" i="115" s="1"/>
  <c r="F19" i="115" s="1"/>
  <c r="F21" i="120" l="1"/>
  <c r="E21" i="120" s="1"/>
  <c r="G21" i="120" s="1"/>
  <c r="C21" i="120"/>
  <c r="E19" i="119"/>
  <c r="D19" i="119" s="1"/>
  <c r="F19" i="119" s="1"/>
  <c r="F20" i="118"/>
  <c r="E20" i="118"/>
  <c r="G19" i="117"/>
  <c r="E20" i="117" s="1"/>
  <c r="D20" i="117"/>
  <c r="F20" i="117" s="1"/>
  <c r="E19" i="116"/>
  <c r="D19" i="116" s="1"/>
  <c r="F19" i="116" s="1"/>
  <c r="E20" i="115"/>
  <c r="D20" i="115" s="1"/>
  <c r="F20" i="115" s="1"/>
  <c r="F22" i="120" l="1"/>
  <c r="E22" i="120" s="1"/>
  <c r="G22" i="120" s="1"/>
  <c r="C22" i="120"/>
  <c r="E20" i="119"/>
  <c r="D20" i="119" s="1"/>
  <c r="F20" i="119" s="1"/>
  <c r="G20" i="118"/>
  <c r="E21" i="118" s="1"/>
  <c r="D21" i="118"/>
  <c r="F21" i="118"/>
  <c r="G20" i="117"/>
  <c r="E21" i="117"/>
  <c r="D21" i="117" s="1"/>
  <c r="F21" i="117" s="1"/>
  <c r="E20" i="116"/>
  <c r="D20" i="116" s="1"/>
  <c r="F20" i="116" s="1"/>
  <c r="F21" i="115"/>
  <c r="E21" i="115"/>
  <c r="D21" i="115" s="1"/>
  <c r="F23" i="120" l="1"/>
  <c r="E23" i="120" s="1"/>
  <c r="G23" i="120" s="1"/>
  <c r="C23" i="120"/>
  <c r="E21" i="119"/>
  <c r="D21" i="119" s="1"/>
  <c r="F21" i="119" s="1"/>
  <c r="G21" i="118"/>
  <c r="E22" i="118" s="1"/>
  <c r="D22" i="118"/>
  <c r="F22" i="118" s="1"/>
  <c r="E22" i="117"/>
  <c r="D22" i="117" s="1"/>
  <c r="F22" i="117" s="1"/>
  <c r="E21" i="116"/>
  <c r="D21" i="116" s="1"/>
  <c r="F21" i="116" s="1"/>
  <c r="F22" i="115"/>
  <c r="E22" i="115"/>
  <c r="D22" i="115" s="1"/>
  <c r="C24" i="120" l="1"/>
  <c r="F24" i="120"/>
  <c r="E24" i="120" s="1"/>
  <c r="G24" i="120" s="1"/>
  <c r="E22" i="119"/>
  <c r="D22" i="119" s="1"/>
  <c r="F22" i="119" s="1"/>
  <c r="G22" i="118"/>
  <c r="E23" i="118" s="1"/>
  <c r="D23" i="118"/>
  <c r="F23" i="118" s="1"/>
  <c r="E23" i="117"/>
  <c r="D23" i="117" s="1"/>
  <c r="F23" i="117" s="1"/>
  <c r="E22" i="116"/>
  <c r="D22" i="116" s="1"/>
  <c r="F22" i="116" s="1"/>
  <c r="E23" i="115"/>
  <c r="D23" i="115" s="1"/>
  <c r="F23" i="115" s="1"/>
  <c r="C25" i="120" l="1"/>
  <c r="F25" i="120"/>
  <c r="E25" i="120" s="1"/>
  <c r="G25" i="120" s="1"/>
  <c r="E23" i="119"/>
  <c r="D23" i="119" s="1"/>
  <c r="F23" i="119"/>
  <c r="G23" i="118"/>
  <c r="E24" i="118" s="1"/>
  <c r="D24" i="118"/>
  <c r="F24" i="118" s="1"/>
  <c r="E24" i="117"/>
  <c r="D24" i="117" s="1"/>
  <c r="F24" i="117" s="1"/>
  <c r="E23" i="116"/>
  <c r="D23" i="116" s="1"/>
  <c r="F23" i="116" s="1"/>
  <c r="E24" i="115"/>
  <c r="D24" i="115" s="1"/>
  <c r="F24" i="115" s="1"/>
  <c r="G26" i="120" l="1"/>
  <c r="F26" i="120"/>
  <c r="C26" i="120"/>
  <c r="E24" i="119"/>
  <c r="D24" i="119" s="1"/>
  <c r="F24" i="119" s="1"/>
  <c r="D25" i="118"/>
  <c r="F25" i="118" s="1"/>
  <c r="G24" i="118"/>
  <c r="E25" i="118" s="1"/>
  <c r="E25" i="117"/>
  <c r="F25" i="117"/>
  <c r="E24" i="116"/>
  <c r="D24" i="116" s="1"/>
  <c r="F24" i="116" s="1"/>
  <c r="E25" i="115"/>
  <c r="D25" i="115" s="1"/>
  <c r="F25" i="115" s="1"/>
  <c r="C27" i="120" l="1"/>
  <c r="F27" i="120"/>
  <c r="E25" i="119"/>
  <c r="D25" i="119" s="1"/>
  <c r="F25" i="119" s="1"/>
  <c r="D26" i="118"/>
  <c r="G25" i="118"/>
  <c r="E26" i="118" s="1"/>
  <c r="F26" i="118"/>
  <c r="G25" i="117"/>
  <c r="E26" i="117" s="1"/>
  <c r="D26" i="117"/>
  <c r="F26" i="117" s="1"/>
  <c r="E25" i="116"/>
  <c r="D25" i="116" s="1"/>
  <c r="F25" i="116" s="1"/>
  <c r="E26" i="115"/>
  <c r="D26" i="115" s="1"/>
  <c r="F26" i="115" s="1"/>
  <c r="E27" i="120" l="1"/>
  <c r="G27" i="120" s="1"/>
  <c r="E26" i="119"/>
  <c r="F26" i="119" s="1"/>
  <c r="G26" i="118"/>
  <c r="E27" i="118" s="1"/>
  <c r="D27" i="118"/>
  <c r="F27" i="118" s="1"/>
  <c r="G26" i="117"/>
  <c r="E27" i="117" s="1"/>
  <c r="D27" i="117"/>
  <c r="F27" i="117" s="1"/>
  <c r="E26" i="116"/>
  <c r="D26" i="116" s="1"/>
  <c r="F26" i="116" s="1"/>
  <c r="E27" i="115"/>
  <c r="D27" i="115" s="1"/>
  <c r="F27" i="115" s="1"/>
  <c r="F28" i="120" l="1"/>
  <c r="E28" i="120" s="1"/>
  <c r="G28" i="120" s="1"/>
  <c r="E29" i="120" s="1"/>
  <c r="G29" i="120" s="1"/>
  <c r="C28" i="120"/>
  <c r="C29" i="120"/>
  <c r="G27" i="118"/>
  <c r="E28" i="118" s="1"/>
  <c r="D28" i="118"/>
  <c r="F28" i="118" s="1"/>
  <c r="G27" i="117"/>
  <c r="E28" i="117" s="1"/>
  <c r="D28" i="117"/>
  <c r="F28" i="117" s="1"/>
  <c r="E27" i="116"/>
  <c r="D27" i="116" s="1"/>
  <c r="F27" i="116" s="1"/>
  <c r="E28" i="115"/>
  <c r="D28" i="115" s="1"/>
  <c r="F28" i="115" s="1"/>
  <c r="F30" i="120" l="1"/>
  <c r="E30" i="120" s="1"/>
  <c r="G30" i="120" s="1"/>
  <c r="C30" i="120"/>
  <c r="E28" i="119"/>
  <c r="D28" i="119" s="1"/>
  <c r="F28" i="119" s="1"/>
  <c r="G28" i="118"/>
  <c r="E29" i="118" s="1"/>
  <c r="D29" i="118"/>
  <c r="F29" i="118" s="1"/>
  <c r="G28" i="117"/>
  <c r="E29" i="117" s="1"/>
  <c r="D29" i="117"/>
  <c r="F29" i="117" s="1"/>
  <c r="E28" i="116"/>
  <c r="D28" i="116" s="1"/>
  <c r="F28" i="116" s="1"/>
  <c r="F29" i="115"/>
  <c r="E29" i="115"/>
  <c r="D29" i="115" s="1"/>
  <c r="F31" i="120" l="1"/>
  <c r="E31" i="120" s="1"/>
  <c r="G31" i="120" s="1"/>
  <c r="C31" i="120"/>
  <c r="E29" i="119"/>
  <c r="D29" i="119" s="1"/>
  <c r="F29" i="119" s="1"/>
  <c r="G29" i="118"/>
  <c r="E30" i="118" s="1"/>
  <c r="D30" i="118"/>
  <c r="F30" i="118" s="1"/>
  <c r="G29" i="117"/>
  <c r="E30" i="117" s="1"/>
  <c r="D30" i="117"/>
  <c r="F30" i="117" s="1"/>
  <c r="E29" i="116"/>
  <c r="D29" i="116" s="1"/>
  <c r="F29" i="116" s="1"/>
  <c r="E30" i="115"/>
  <c r="D30" i="115" s="1"/>
  <c r="F30" i="115" s="1"/>
  <c r="C32" i="120" l="1"/>
  <c r="F32" i="120"/>
  <c r="E32" i="120" s="1"/>
  <c r="G32" i="120" s="1"/>
  <c r="F30" i="119"/>
  <c r="K31" i="119" s="1"/>
  <c r="G30" i="118"/>
  <c r="E31" i="118" s="1"/>
  <c r="D31" i="118"/>
  <c r="F31" i="118" s="1"/>
  <c r="D31" i="117"/>
  <c r="F31" i="117" s="1"/>
  <c r="G30" i="117"/>
  <c r="E31" i="117" s="1"/>
  <c r="E30" i="116"/>
  <c r="D30" i="116" s="1"/>
  <c r="F30" i="116" s="1"/>
  <c r="E31" i="115"/>
  <c r="D31" i="115" s="1"/>
  <c r="F31" i="115" s="1"/>
  <c r="C33" i="120" l="1"/>
  <c r="F33" i="120"/>
  <c r="E33" i="120" s="1"/>
  <c r="G33" i="120" s="1"/>
  <c r="E31" i="119"/>
  <c r="D31" i="119" s="1"/>
  <c r="F31" i="119" s="1"/>
  <c r="D32" i="118"/>
  <c r="F32" i="118" s="1"/>
  <c r="G31" i="118"/>
  <c r="E32" i="118" s="1"/>
  <c r="D32" i="117"/>
  <c r="F32" i="117" s="1"/>
  <c r="G31" i="117"/>
  <c r="E32" i="117" s="1"/>
  <c r="E31" i="116"/>
  <c r="D31" i="116" s="1"/>
  <c r="F31" i="116" s="1"/>
  <c r="E32" i="115"/>
  <c r="D32" i="115" s="1"/>
  <c r="F32" i="115" s="1"/>
  <c r="C34" i="120" l="1"/>
  <c r="F34" i="120"/>
  <c r="E34" i="120" s="1"/>
  <c r="G34" i="120" s="1"/>
  <c r="E32" i="119"/>
  <c r="D32" i="119" s="1"/>
  <c r="F32" i="119" s="1"/>
  <c r="D33" i="118"/>
  <c r="F33" i="118" s="1"/>
  <c r="G32" i="118"/>
  <c r="E33" i="118" s="1"/>
  <c r="G32" i="117"/>
  <c r="E33" i="117" s="1"/>
  <c r="D33" i="117"/>
  <c r="F33" i="117" s="1"/>
  <c r="E32" i="116"/>
  <c r="D32" i="116" s="1"/>
  <c r="F32" i="116" s="1"/>
  <c r="E33" i="115"/>
  <c r="D33" i="115" s="1"/>
  <c r="F33" i="115" s="1"/>
  <c r="C35" i="120" l="1"/>
  <c r="F35" i="120"/>
  <c r="E35" i="120" s="1"/>
  <c r="G35" i="120" s="1"/>
  <c r="E33" i="119"/>
  <c r="D33" i="119" s="1"/>
  <c r="F33" i="119" s="1"/>
  <c r="D34" i="118"/>
  <c r="F34" i="118" s="1"/>
  <c r="G33" i="118"/>
  <c r="E34" i="118"/>
  <c r="F34" i="117"/>
  <c r="G33" i="117"/>
  <c r="D35" i="117"/>
  <c r="E33" i="116"/>
  <c r="D33" i="116" s="1"/>
  <c r="F33" i="116" s="1"/>
  <c r="E34" i="115"/>
  <c r="D34" i="115" s="1"/>
  <c r="F34" i="115" s="1"/>
  <c r="F36" i="120" l="1"/>
  <c r="E36" i="120" s="1"/>
  <c r="G36" i="120" s="1"/>
  <c r="C36" i="120"/>
  <c r="E34" i="119"/>
  <c r="D34" i="119" s="1"/>
  <c r="F34" i="119" s="1"/>
  <c r="G34" i="118"/>
  <c r="E35" i="118" s="1"/>
  <c r="D35" i="118"/>
  <c r="F35" i="118" s="1"/>
  <c r="E34" i="117"/>
  <c r="G34" i="117" s="1"/>
  <c r="E35" i="117" s="1"/>
  <c r="G35" i="117" s="1"/>
  <c r="F35" i="117"/>
  <c r="E34" i="116"/>
  <c r="D34" i="116" s="1"/>
  <c r="F34" i="116" s="1"/>
  <c r="E35" i="115"/>
  <c r="D35" i="115" s="1"/>
  <c r="F35" i="115" s="1"/>
  <c r="C37" i="120" l="1"/>
  <c r="F37" i="120"/>
  <c r="E37" i="120" s="1"/>
  <c r="G37" i="120" s="1"/>
  <c r="E35" i="119"/>
  <c r="D35" i="119" s="1"/>
  <c r="F35" i="119" s="1"/>
  <c r="G35" i="118"/>
  <c r="E36" i="118" s="1"/>
  <c r="D36" i="118"/>
  <c r="F36" i="118" s="1"/>
  <c r="F36" i="117"/>
  <c r="E36" i="117"/>
  <c r="D38" i="117" s="1"/>
  <c r="E35" i="116"/>
  <c r="D35" i="116" s="1"/>
  <c r="F35" i="116" s="1"/>
  <c r="E36" i="115"/>
  <c r="D36" i="115" s="1"/>
  <c r="F36" i="115" s="1"/>
  <c r="F38" i="120" l="1"/>
  <c r="E38" i="120" s="1"/>
  <c r="G38" i="120" s="1"/>
  <c r="C38" i="120"/>
  <c r="E36" i="119"/>
  <c r="D36" i="119" s="1"/>
  <c r="F36" i="119" s="1"/>
  <c r="G36" i="118"/>
  <c r="E37" i="118" s="1"/>
  <c r="D37" i="118"/>
  <c r="F37" i="118" s="1"/>
  <c r="F37" i="117"/>
  <c r="G36" i="117"/>
  <c r="E36" i="116"/>
  <c r="D36" i="116" s="1"/>
  <c r="F36" i="116" s="1"/>
  <c r="F37" i="115"/>
  <c r="E37" i="115"/>
  <c r="D37" i="115" s="1"/>
  <c r="F39" i="120" l="1"/>
  <c r="E39" i="120" s="1"/>
  <c r="G39" i="120" s="1"/>
  <c r="C39" i="120"/>
  <c r="E37" i="119"/>
  <c r="D37" i="119" s="1"/>
  <c r="F37" i="119" s="1"/>
  <c r="F38" i="118"/>
  <c r="D39" i="118"/>
  <c r="G37" i="118"/>
  <c r="F38" i="117"/>
  <c r="E37" i="117"/>
  <c r="E37" i="116"/>
  <c r="D37" i="116" s="1"/>
  <c r="F37" i="116"/>
  <c r="E38" i="115"/>
  <c r="D38" i="115" s="1"/>
  <c r="F38" i="115" s="1"/>
  <c r="F40" i="120" l="1"/>
  <c r="E40" i="120" s="1"/>
  <c r="G40" i="120" s="1"/>
  <c r="C40" i="120"/>
  <c r="E38" i="119"/>
  <c r="D38" i="119" s="1"/>
  <c r="F38" i="119" s="1"/>
  <c r="F39" i="118"/>
  <c r="E38" i="118"/>
  <c r="D40" i="118" s="1"/>
  <c r="F39" i="117"/>
  <c r="G37" i="117"/>
  <c r="E38" i="117" s="1"/>
  <c r="G38" i="117" s="1"/>
  <c r="E38" i="116"/>
  <c r="D38" i="116" s="1"/>
  <c r="F38" i="116" s="1"/>
  <c r="E39" i="115"/>
  <c r="D39" i="115" s="1"/>
  <c r="F39" i="115" s="1"/>
  <c r="C41" i="120" l="1"/>
  <c r="F41" i="120"/>
  <c r="E41" i="120" s="1"/>
  <c r="G41" i="120" s="1"/>
  <c r="E39" i="119"/>
  <c r="D39" i="119" s="1"/>
  <c r="F39" i="119" s="1"/>
  <c r="F40" i="118"/>
  <c r="G38" i="118"/>
  <c r="E39" i="118" s="1"/>
  <c r="E39" i="117"/>
  <c r="F40" i="117"/>
  <c r="E39" i="116"/>
  <c r="D39" i="116" s="1"/>
  <c r="F39" i="116" s="1"/>
  <c r="E40" i="115"/>
  <c r="D40" i="115" s="1"/>
  <c r="F40" i="115" s="1"/>
  <c r="C42" i="120" l="1"/>
  <c r="F42" i="120"/>
  <c r="E42" i="120" s="1"/>
  <c r="G42" i="120" s="1"/>
  <c r="E40" i="119"/>
  <c r="D40" i="119" s="1"/>
  <c r="F40" i="119" s="1"/>
  <c r="G39" i="118"/>
  <c r="E40" i="118" s="1"/>
  <c r="D41" i="118"/>
  <c r="F41" i="118" s="1"/>
  <c r="G39" i="117"/>
  <c r="E40" i="116"/>
  <c r="D40" i="116" s="1"/>
  <c r="F40" i="116" s="1"/>
  <c r="F41" i="115"/>
  <c r="E41" i="115"/>
  <c r="D41" i="115" s="1"/>
  <c r="C43" i="120" l="1"/>
  <c r="F43" i="120"/>
  <c r="E43" i="120" s="1"/>
  <c r="G43" i="120" s="1"/>
  <c r="E41" i="119"/>
  <c r="D41" i="119" s="1"/>
  <c r="F41" i="119" s="1"/>
  <c r="D42" i="118"/>
  <c r="F42" i="118" s="1"/>
  <c r="G40" i="118"/>
  <c r="E41" i="118" s="1"/>
  <c r="G41" i="118" s="1"/>
  <c r="E42" i="118" s="1"/>
  <c r="D43" i="118" s="1"/>
  <c r="E40" i="117"/>
  <c r="D41" i="117" s="1"/>
  <c r="F41" i="117" s="1"/>
  <c r="E41" i="116"/>
  <c r="D41" i="116" s="1"/>
  <c r="F41" i="116" s="1"/>
  <c r="E42" i="115"/>
  <c r="D42" i="115" s="1"/>
  <c r="F42" i="115" s="1"/>
  <c r="F44" i="120" l="1"/>
  <c r="E44" i="120" s="1"/>
  <c r="G44" i="120" s="1"/>
  <c r="C44" i="120"/>
  <c r="E42" i="119"/>
  <c r="D42" i="119" s="1"/>
  <c r="F42" i="119" s="1"/>
  <c r="F43" i="118"/>
  <c r="G42" i="118"/>
  <c r="E43" i="118" s="1"/>
  <c r="F42" i="117"/>
  <c r="G40" i="117"/>
  <c r="E41" i="117" s="1"/>
  <c r="E42" i="116"/>
  <c r="D42" i="116" s="1"/>
  <c r="E43" i="115"/>
  <c r="D43" i="115" s="1"/>
  <c r="F43" i="115" l="1"/>
  <c r="I42" i="115"/>
  <c r="F45" i="120"/>
  <c r="E45" i="120" s="1"/>
  <c r="G45" i="120" s="1"/>
  <c r="C45" i="120"/>
  <c r="E43" i="119"/>
  <c r="D43" i="119" s="1"/>
  <c r="F43" i="119" s="1"/>
  <c r="G43" i="118"/>
  <c r="E44" i="118" s="1"/>
  <c r="D44" i="118"/>
  <c r="F44" i="118" s="1"/>
  <c r="G41" i="117"/>
  <c r="F43" i="117"/>
  <c r="E43" i="116"/>
  <c r="D43" i="116" s="1"/>
  <c r="F43" i="116" s="1"/>
  <c r="E44" i="115"/>
  <c r="D44" i="115" s="1"/>
  <c r="F44" i="115" l="1"/>
  <c r="I44" i="115"/>
  <c r="F46" i="120"/>
  <c r="E46" i="120" s="1"/>
  <c r="G46" i="120" s="1"/>
  <c r="C46" i="120"/>
  <c r="E44" i="119"/>
  <c r="D44" i="119" s="1"/>
  <c r="F44" i="119" s="1"/>
  <c r="G44" i="118"/>
  <c r="E45" i="118" s="1"/>
  <c r="G45" i="118" s="1"/>
  <c r="D45" i="118"/>
  <c r="F44" i="117"/>
  <c r="E42" i="117"/>
  <c r="D46" i="117" s="1"/>
  <c r="E44" i="116"/>
  <c r="D44" i="116" s="1"/>
  <c r="F44" i="116" s="1"/>
  <c r="D45" i="115"/>
  <c r="F45" i="115" s="1"/>
  <c r="F45" i="118" l="1"/>
  <c r="F46" i="118" s="1"/>
  <c r="F47" i="120"/>
  <c r="E47" i="120" s="1"/>
  <c r="G47" i="120" s="1"/>
  <c r="C47" i="120"/>
  <c r="E45" i="119"/>
  <c r="D45" i="119" s="1"/>
  <c r="F45" i="119" s="1"/>
  <c r="G42" i="117"/>
  <c r="F45" i="117"/>
  <c r="D45" i="116"/>
  <c r="F45" i="116" s="1"/>
  <c r="E46" i="115"/>
  <c r="D46" i="115" s="1"/>
  <c r="F46" i="115" s="1"/>
  <c r="E46" i="118" l="1"/>
  <c r="G46" i="118" s="1"/>
  <c r="E47" i="118" s="1"/>
  <c r="F48" i="120"/>
  <c r="E48" i="120" s="1"/>
  <c r="G48" i="120" s="1"/>
  <c r="C48" i="120"/>
  <c r="E46" i="119"/>
  <c r="D46" i="119" s="1"/>
  <c r="F46" i="119" s="1"/>
  <c r="F47" i="118"/>
  <c r="F46" i="117"/>
  <c r="E43" i="117"/>
  <c r="E46" i="116"/>
  <c r="D46" i="116" s="1"/>
  <c r="F46" i="116" s="1"/>
  <c r="E47" i="115"/>
  <c r="D47" i="115" s="1"/>
  <c r="F47" i="115" s="1"/>
  <c r="G47" i="118" l="1"/>
  <c r="N6" i="118"/>
  <c r="N7" i="118" s="1"/>
  <c r="F48" i="118"/>
  <c r="C49" i="120"/>
  <c r="F49" i="120"/>
  <c r="E49" i="120" s="1"/>
  <c r="G49" i="120" s="1"/>
  <c r="E47" i="119"/>
  <c r="D47" i="119" s="1"/>
  <c r="F47" i="119"/>
  <c r="G43" i="117"/>
  <c r="F47" i="117"/>
  <c r="E47" i="116"/>
  <c r="D47" i="116" s="1"/>
  <c r="E48" i="115"/>
  <c r="D48" i="115" s="1"/>
  <c r="F48" i="115" s="1"/>
  <c r="F47" i="116" l="1"/>
  <c r="F49" i="118"/>
  <c r="F50" i="118" s="1"/>
  <c r="N8" i="118"/>
  <c r="C28" i="58"/>
  <c r="E48" i="118"/>
  <c r="G48" i="118" s="1"/>
  <c r="C50" i="120"/>
  <c r="F50" i="120"/>
  <c r="E50" i="120" s="1"/>
  <c r="G50" i="120" s="1"/>
  <c r="E48" i="119"/>
  <c r="D48" i="119" s="1"/>
  <c r="F48" i="119" s="1"/>
  <c r="E44" i="117"/>
  <c r="E48" i="116"/>
  <c r="D48" i="116" s="1"/>
  <c r="F48" i="116" s="1"/>
  <c r="E49" i="115"/>
  <c r="D49" i="115" s="1"/>
  <c r="F49" i="115" s="1"/>
  <c r="E49" i="118" l="1"/>
  <c r="E50" i="118" s="1"/>
  <c r="G44" i="117"/>
  <c r="G28" i="58"/>
  <c r="I28" i="58"/>
  <c r="C51" i="120"/>
  <c r="F51" i="120"/>
  <c r="E51" i="120" s="1"/>
  <c r="G51" i="120" s="1"/>
  <c r="E49" i="119"/>
  <c r="D49" i="119" s="1"/>
  <c r="F49" i="119" s="1"/>
  <c r="E45" i="117"/>
  <c r="G45" i="117" s="1"/>
  <c r="E49" i="116"/>
  <c r="D49" i="116" s="1"/>
  <c r="E50" i="115"/>
  <c r="D50" i="115" s="1"/>
  <c r="F50" i="115" s="1"/>
  <c r="F49" i="116" l="1"/>
  <c r="E8" i="122"/>
  <c r="D48" i="117"/>
  <c r="F52" i="120"/>
  <c r="E52" i="120" s="1"/>
  <c r="G52" i="120" s="1"/>
  <c r="C52" i="120"/>
  <c r="E50" i="119"/>
  <c r="D50" i="119" s="1"/>
  <c r="F50" i="119" s="1"/>
  <c r="E46" i="117"/>
  <c r="E50" i="116"/>
  <c r="D50" i="116" s="1"/>
  <c r="F50" i="116" s="1"/>
  <c r="E51" i="115"/>
  <c r="D51" i="115" s="1"/>
  <c r="F51" i="115" s="1"/>
  <c r="E10" i="122" l="1"/>
  <c r="C16" i="58"/>
  <c r="G46" i="117"/>
  <c r="C53" i="120"/>
  <c r="F53" i="120"/>
  <c r="E53" i="120" s="1"/>
  <c r="G53" i="120" s="1"/>
  <c r="E51" i="119"/>
  <c r="D51" i="119" s="1"/>
  <c r="F51" i="119" s="1"/>
  <c r="E47" i="117"/>
  <c r="E51" i="116"/>
  <c r="D51" i="116" s="1"/>
  <c r="E52" i="115"/>
  <c r="D52" i="115" s="1"/>
  <c r="F52" i="115" s="1"/>
  <c r="F51" i="116" l="1"/>
  <c r="D51" i="117"/>
  <c r="F48" i="117"/>
  <c r="G47" i="117"/>
  <c r="F54" i="120"/>
  <c r="E54" i="120" s="1"/>
  <c r="G54" i="120" s="1"/>
  <c r="C54" i="120"/>
  <c r="E52" i="119"/>
  <c r="D52" i="119" s="1"/>
  <c r="F52" i="119" s="1"/>
  <c r="E52" i="116"/>
  <c r="D52" i="116" s="1"/>
  <c r="F52" i="116" s="1"/>
  <c r="E53" i="115"/>
  <c r="D53" i="115" s="1"/>
  <c r="F53" i="115" s="1"/>
  <c r="E48" i="117" l="1"/>
  <c r="G48" i="117" s="1"/>
  <c r="F55" i="120"/>
  <c r="E55" i="120" s="1"/>
  <c r="G55" i="120" s="1"/>
  <c r="C55" i="120"/>
  <c r="E53" i="119"/>
  <c r="D53" i="119" s="1"/>
  <c r="F53" i="119" s="1"/>
  <c r="E53" i="116"/>
  <c r="D53" i="116" s="1"/>
  <c r="F53" i="116" s="1"/>
  <c r="E54" i="115"/>
  <c r="D54" i="115" s="1"/>
  <c r="F54" i="115" s="1"/>
  <c r="E49" i="117" l="1"/>
  <c r="F49" i="117" s="1"/>
  <c r="G49" i="117"/>
  <c r="F56" i="120"/>
  <c r="E56" i="120" s="1"/>
  <c r="G56" i="120" s="1"/>
  <c r="C56" i="120"/>
  <c r="E54" i="119"/>
  <c r="D54" i="119" s="1"/>
  <c r="F54" i="119" s="1"/>
  <c r="E54" i="116"/>
  <c r="D54" i="116" s="1"/>
  <c r="F54" i="116" s="1"/>
  <c r="E55" i="115"/>
  <c r="D55" i="115" s="1"/>
  <c r="F55" i="115" s="1"/>
  <c r="E50" i="117" l="1"/>
  <c r="G50" i="117" s="1"/>
  <c r="F50" i="117"/>
  <c r="F51" i="117" s="1"/>
  <c r="C57" i="120"/>
  <c r="F57" i="120"/>
  <c r="E57" i="120" s="1"/>
  <c r="G57" i="120" s="1"/>
  <c r="E55" i="119"/>
  <c r="D55" i="119" s="1"/>
  <c r="F55" i="119" s="1"/>
  <c r="E55" i="116"/>
  <c r="D55" i="116" s="1"/>
  <c r="F55" i="116" s="1"/>
  <c r="E56" i="115"/>
  <c r="D56" i="115" s="1"/>
  <c r="F56" i="115"/>
  <c r="E51" i="117" l="1"/>
  <c r="G51" i="117" s="1"/>
  <c r="E52" i="117" s="1"/>
  <c r="F52" i="117" s="1"/>
  <c r="E53" i="117" s="1"/>
  <c r="C58" i="120"/>
  <c r="F58" i="120"/>
  <c r="E58" i="120" s="1"/>
  <c r="G58" i="120" s="1"/>
  <c r="E56" i="119"/>
  <c r="D56" i="119" s="1"/>
  <c r="F56" i="119" s="1"/>
  <c r="E56" i="116"/>
  <c r="D56" i="116" s="1"/>
  <c r="F56" i="116" s="1"/>
  <c r="E57" i="115"/>
  <c r="D57" i="115" s="1"/>
  <c r="F57" i="115" s="1"/>
  <c r="F53" i="117" l="1"/>
  <c r="E54" i="117" s="1"/>
  <c r="F54" i="117" s="1"/>
  <c r="C59" i="120"/>
  <c r="F59" i="120"/>
  <c r="E59" i="120" s="1"/>
  <c r="G59" i="120" s="1"/>
  <c r="E57" i="119"/>
  <c r="D57" i="119" s="1"/>
  <c r="F57" i="119" s="1"/>
  <c r="E57" i="116"/>
  <c r="D57" i="116" s="1"/>
  <c r="F57" i="116" s="1"/>
  <c r="E58" i="115"/>
  <c r="D58" i="115" s="1"/>
  <c r="F58" i="115" s="1"/>
  <c r="F60" i="120" l="1"/>
  <c r="E60" i="120" s="1"/>
  <c r="G60" i="120" s="1"/>
  <c r="C60" i="120"/>
  <c r="E58" i="119"/>
  <c r="D58" i="119" s="1"/>
  <c r="F58" i="119" s="1"/>
  <c r="E55" i="117"/>
  <c r="D55" i="117" s="1"/>
  <c r="E58" i="116"/>
  <c r="D58" i="116" s="1"/>
  <c r="F58" i="116" s="1"/>
  <c r="E59" i="115"/>
  <c r="D59" i="115" s="1"/>
  <c r="F59" i="115" s="1"/>
  <c r="F55" i="117" l="1"/>
  <c r="C61" i="120"/>
  <c r="F61" i="120"/>
  <c r="E61" i="120" s="1"/>
  <c r="G61" i="120" s="1"/>
  <c r="E59" i="119"/>
  <c r="D59" i="119" s="1"/>
  <c r="F59" i="119" s="1"/>
  <c r="E56" i="117"/>
  <c r="D56" i="117" s="1"/>
  <c r="F56" i="117" s="1"/>
  <c r="E59" i="116"/>
  <c r="D59" i="116" s="1"/>
  <c r="F59" i="116" s="1"/>
  <c r="E60" i="115"/>
  <c r="D60" i="115" s="1"/>
  <c r="F60" i="115" s="1"/>
  <c r="F62" i="120" l="1"/>
  <c r="E62" i="120" s="1"/>
  <c r="G62" i="120" s="1"/>
  <c r="C62" i="120"/>
  <c r="E60" i="119"/>
  <c r="D60" i="119" s="1"/>
  <c r="F60" i="119" s="1"/>
  <c r="E57" i="117"/>
  <c r="D57" i="117" s="1"/>
  <c r="E60" i="116"/>
  <c r="D60" i="116" s="1"/>
  <c r="F60" i="116" s="1"/>
  <c r="E61" i="115"/>
  <c r="D61" i="115" s="1"/>
  <c r="F61" i="115" s="1"/>
  <c r="F57" i="117" l="1"/>
  <c r="F63" i="120"/>
  <c r="E63" i="120" s="1"/>
  <c r="G63" i="120" s="1"/>
  <c r="C63" i="120"/>
  <c r="E61" i="119"/>
  <c r="D61" i="119" s="1"/>
  <c r="F61" i="119" s="1"/>
  <c r="E58" i="117"/>
  <c r="D58" i="117" s="1"/>
  <c r="F58" i="117" s="1"/>
  <c r="E61" i="116"/>
  <c r="D61" i="116" s="1"/>
  <c r="F61" i="116" s="1"/>
  <c r="E62" i="115"/>
  <c r="D62" i="115" s="1"/>
  <c r="F62" i="115" s="1"/>
  <c r="F64" i="120" l="1"/>
  <c r="E64" i="120" s="1"/>
  <c r="G64" i="120" s="1"/>
  <c r="C64" i="120"/>
  <c r="E62" i="119"/>
  <c r="D62" i="119" s="1"/>
  <c r="F62" i="119" s="1"/>
  <c r="E59" i="117"/>
  <c r="D59" i="117" s="1"/>
  <c r="E62" i="116"/>
  <c r="D62" i="116" s="1"/>
  <c r="F62" i="116" s="1"/>
  <c r="E63" i="115"/>
  <c r="D63" i="115" s="1"/>
  <c r="F63" i="115" s="1"/>
  <c r="C65" i="120" l="1"/>
  <c r="F65" i="120"/>
  <c r="E65" i="120" s="1"/>
  <c r="G65" i="120" s="1"/>
  <c r="E63" i="119"/>
  <c r="D63" i="119" s="1"/>
  <c r="F63" i="119"/>
  <c r="F59" i="117"/>
  <c r="E60" i="117" s="1"/>
  <c r="D60" i="117" s="1"/>
  <c r="F60" i="117" s="1"/>
  <c r="E61" i="117" s="1"/>
  <c r="D61" i="117" s="1"/>
  <c r="F61" i="117" s="1"/>
  <c r="E62" i="117" s="1"/>
  <c r="D62" i="117" s="1"/>
  <c r="E63" i="116"/>
  <c r="D63" i="116" s="1"/>
  <c r="F63" i="116" s="1"/>
  <c r="E64" i="115"/>
  <c r="D64" i="115" s="1"/>
  <c r="F64" i="115" s="1"/>
  <c r="F62" i="117" l="1"/>
  <c r="E63" i="117" s="1"/>
  <c r="D63" i="117" s="1"/>
  <c r="F63" i="117" s="1"/>
  <c r="E64" i="117" s="1"/>
  <c r="D64" i="117" s="1"/>
  <c r="F64" i="117" s="1"/>
  <c r="C66" i="120"/>
  <c r="F66" i="120"/>
  <c r="E66" i="120" s="1"/>
  <c r="G66" i="120" s="1"/>
  <c r="E64" i="119"/>
  <c r="D64" i="119" s="1"/>
  <c r="F64" i="119" s="1"/>
  <c r="E64" i="116"/>
  <c r="D64" i="116" s="1"/>
  <c r="F64" i="116" s="1"/>
  <c r="E65" i="115"/>
  <c r="D65" i="115" s="1"/>
  <c r="F65" i="115" s="1"/>
  <c r="N5" i="117" l="1"/>
  <c r="N6" i="117" s="1"/>
  <c r="C67" i="120"/>
  <c r="F67" i="120"/>
  <c r="E67" i="120" s="1"/>
  <c r="G67" i="120" s="1"/>
  <c r="E65" i="119"/>
  <c r="D65" i="119" s="1"/>
  <c r="F65" i="119" s="1"/>
  <c r="E65" i="116"/>
  <c r="D65" i="116" s="1"/>
  <c r="F65" i="116" s="1"/>
  <c r="E66" i="115"/>
  <c r="D66" i="115" s="1"/>
  <c r="F66" i="115" s="1"/>
  <c r="N7" i="117" l="1"/>
  <c r="N8" i="117" s="1"/>
  <c r="F68" i="120"/>
  <c r="E68" i="120" s="1"/>
  <c r="G68" i="120" s="1"/>
  <c r="C68" i="120"/>
  <c r="E66" i="119"/>
  <c r="D66" i="119" s="1"/>
  <c r="F66" i="119" s="1"/>
  <c r="E66" i="116"/>
  <c r="D66" i="116" s="1"/>
  <c r="F66" i="116" s="1"/>
  <c r="E67" i="115"/>
  <c r="D67" i="115" s="1"/>
  <c r="F67" i="115" s="1"/>
  <c r="F69" i="120" l="1"/>
  <c r="E69" i="120" s="1"/>
  <c r="O5" i="120" s="1"/>
  <c r="Q5" i="120" s="1"/>
  <c r="C69" i="120"/>
  <c r="E67" i="119"/>
  <c r="D67" i="119" s="1"/>
  <c r="F67" i="119" s="1"/>
  <c r="E67" i="116"/>
  <c r="D67" i="116" s="1"/>
  <c r="F67" i="116" s="1"/>
  <c r="E68" i="115"/>
  <c r="D68" i="115" s="1"/>
  <c r="F68" i="115" s="1"/>
  <c r="O6" i="120" l="1"/>
  <c r="G69" i="120"/>
  <c r="E68" i="119"/>
  <c r="D68" i="119" s="1"/>
  <c r="N5" i="119" s="1"/>
  <c r="P5" i="119" s="1"/>
  <c r="E68" i="116"/>
  <c r="D68" i="116" s="1"/>
  <c r="F68" i="116" s="1"/>
  <c r="E69" i="115"/>
  <c r="D69" i="115" s="1"/>
  <c r="N5" i="115" s="1"/>
  <c r="P5" i="115" s="1"/>
  <c r="O7" i="120" l="1"/>
  <c r="O8" i="120" s="1"/>
  <c r="Q6" i="120"/>
  <c r="C29" i="58"/>
  <c r="N6" i="115"/>
  <c r="N6" i="119"/>
  <c r="P6" i="119" s="1"/>
  <c r="F68" i="119"/>
  <c r="E69" i="116"/>
  <c r="D69" i="116" s="1"/>
  <c r="F69" i="116" s="1"/>
  <c r="F69" i="115"/>
  <c r="N7" i="115" l="1"/>
  <c r="N8" i="115" s="1"/>
  <c r="P6" i="115"/>
  <c r="N7" i="119"/>
  <c r="N8" i="119" s="1"/>
  <c r="G29" i="58"/>
  <c r="I29" i="58"/>
  <c r="E70" i="116"/>
  <c r="D70" i="116" s="1"/>
  <c r="N5" i="116" s="1"/>
  <c r="P5" i="116" l="1"/>
  <c r="N6" i="116"/>
  <c r="F70" i="116"/>
  <c r="P6" i="116" l="1"/>
  <c r="N7" i="116"/>
  <c r="N8" i="116" s="1"/>
  <c r="B17" i="113"/>
  <c r="C37" i="58"/>
  <c r="C38" i="58"/>
  <c r="C30" i="58"/>
  <c r="G30" i="58" l="1"/>
  <c r="I30" i="58"/>
  <c r="G38" i="58"/>
  <c r="I38" i="58"/>
  <c r="G37" i="58"/>
  <c r="I37" i="58"/>
  <c r="B10" i="122"/>
  <c r="I16" i="58" l="1"/>
  <c r="C34" i="58"/>
  <c r="C26" i="58"/>
  <c r="I26" i="58" l="1"/>
  <c r="G26" i="58"/>
  <c r="G34" i="58"/>
  <c r="I34" i="58"/>
  <c r="B12" i="113" l="1"/>
  <c r="B8" i="113"/>
  <c r="B5" i="113"/>
  <c r="B18" i="113" s="1"/>
  <c r="P3" i="113"/>
  <c r="B13" i="113" l="1"/>
  <c r="B9" i="113"/>
  <c r="B22" i="113" s="1"/>
  <c r="B25" i="113" l="1"/>
  <c r="B31" i="113" s="1"/>
  <c r="C19" i="58" l="1"/>
  <c r="G19" i="58" s="1"/>
  <c r="I17" i="58"/>
  <c r="I19" i="58" l="1"/>
  <c r="G17" i="58"/>
  <c r="C27" i="58" l="1"/>
  <c r="I27" i="58" l="1"/>
  <c r="G27" i="58"/>
  <c r="C35" i="58"/>
  <c r="I35" i="58" l="1"/>
  <c r="G35" i="58"/>
  <c r="C25" i="58"/>
  <c r="G25" i="58" l="1"/>
  <c r="I25" i="58"/>
  <c r="C31" i="58"/>
  <c r="I31" i="58" l="1"/>
  <c r="G31" i="58"/>
  <c r="D3" i="111"/>
  <c r="E3" i="111" s="1"/>
  <c r="F3" i="111" s="1"/>
  <c r="G3" i="111" s="1"/>
  <c r="H3" i="111" s="1"/>
  <c r="I3" i="111" s="1"/>
  <c r="J3" i="111" s="1"/>
  <c r="K3" i="111" s="1"/>
  <c r="L3" i="111" s="1"/>
  <c r="M3" i="111" s="1"/>
  <c r="N3" i="111" s="1"/>
  <c r="O3" i="111" s="1"/>
  <c r="P3" i="111" s="1"/>
  <c r="Q3" i="111" s="1"/>
  <c r="R3" i="111" s="1"/>
  <c r="S3" i="111" s="1"/>
  <c r="T3" i="111" s="1"/>
  <c r="U3" i="111" s="1"/>
  <c r="V3" i="111" s="1"/>
  <c r="W3" i="111" s="1"/>
  <c r="X3" i="111" s="1"/>
  <c r="Y3" i="111" s="1"/>
  <c r="Z3" i="111" s="1"/>
  <c r="AA3" i="111" s="1"/>
  <c r="AB3" i="111" s="1"/>
  <c r="AC3" i="111" s="1"/>
  <c r="AD3" i="111" s="1"/>
  <c r="AE3" i="111" s="1"/>
  <c r="AF3" i="111" s="1"/>
  <c r="AG3" i="111" s="1"/>
  <c r="AH3" i="111" s="1"/>
  <c r="AI3" i="111" s="1"/>
  <c r="AJ3" i="111" s="1"/>
  <c r="AK3" i="111" s="1"/>
  <c r="AL3" i="111" s="1"/>
  <c r="AM3" i="111" s="1"/>
  <c r="AN3" i="111" s="1"/>
  <c r="AO3" i="111" s="1"/>
  <c r="AP3" i="111" s="1"/>
  <c r="AQ3" i="111" s="1"/>
  <c r="AR3" i="111" s="1"/>
  <c r="AS3" i="111" s="1"/>
  <c r="AT3" i="111" s="1"/>
  <c r="AU3" i="111" s="1"/>
  <c r="AV3" i="111" s="1"/>
  <c r="AW3" i="111" s="1"/>
  <c r="AX3" i="111" s="1"/>
  <c r="AY3" i="111" s="1"/>
  <c r="AZ3" i="111" s="1"/>
  <c r="BA3" i="111" s="1"/>
  <c r="BB3" i="111" s="1"/>
  <c r="BC3" i="111" s="1"/>
  <c r="BD3" i="111" s="1"/>
  <c r="BE3" i="111" s="1"/>
  <c r="BF3" i="111" s="1"/>
  <c r="BG3" i="111" s="1"/>
  <c r="BH3" i="111" s="1"/>
  <c r="BI3" i="111" s="1"/>
  <c r="BJ3" i="111" s="1"/>
  <c r="BK3" i="111" s="1"/>
  <c r="BL3" i="111" s="1"/>
  <c r="BM3" i="111" s="1"/>
  <c r="BN3" i="111" s="1"/>
  <c r="BO3" i="111" s="1"/>
  <c r="BP3" i="111" s="1"/>
  <c r="BQ3" i="111" s="1"/>
  <c r="BR3" i="111" s="1"/>
  <c r="BS3" i="111" s="1"/>
  <c r="BT3" i="111" s="1"/>
  <c r="BU3" i="111" s="1"/>
  <c r="BV3" i="111" s="1"/>
  <c r="BW3" i="111" s="1"/>
  <c r="BX3" i="111" s="1"/>
  <c r="BY3" i="111" s="1"/>
  <c r="BZ3" i="111" s="1"/>
  <c r="CA3" i="111" s="1"/>
  <c r="CB3" i="111" s="1"/>
  <c r="CC3" i="111" s="1"/>
  <c r="CD3" i="111" s="1"/>
  <c r="CE3" i="111" s="1"/>
  <c r="CF3" i="111" s="1"/>
  <c r="CG3" i="111" s="1"/>
  <c r="CH3" i="111" s="1"/>
  <c r="CI3" i="111" s="1"/>
  <c r="CJ3" i="111" s="1"/>
  <c r="CK3" i="111" s="1"/>
  <c r="CL3" i="111" s="1"/>
  <c r="CM3" i="111" s="1"/>
  <c r="CN3" i="111" s="1"/>
  <c r="CO3" i="111" s="1"/>
  <c r="CP3" i="111" s="1"/>
  <c r="CQ3" i="111" s="1"/>
  <c r="CR3" i="111" s="1"/>
  <c r="CS3" i="111" s="1"/>
  <c r="CT3" i="111" s="1"/>
  <c r="CU3" i="111" s="1"/>
  <c r="CV3" i="111" s="1"/>
  <c r="CW3" i="111" s="1"/>
  <c r="CX3" i="111" s="1"/>
  <c r="CY3" i="111" s="1"/>
  <c r="CZ3" i="111" s="1"/>
  <c r="DA3" i="111" s="1"/>
  <c r="DB3" i="111" s="1"/>
  <c r="DC3" i="111" s="1"/>
  <c r="DD3" i="111" s="1"/>
  <c r="DE3" i="111" s="1"/>
  <c r="DF3" i="111" s="1"/>
  <c r="DG3" i="111" s="1"/>
  <c r="DH3" i="111" s="1"/>
  <c r="DI3" i="111" s="1"/>
  <c r="DJ3" i="111" s="1"/>
  <c r="DK3" i="111" s="1"/>
  <c r="DL3" i="111" s="1"/>
  <c r="DM3" i="111" s="1"/>
  <c r="DN3" i="111" s="1"/>
  <c r="DO3" i="111" s="1"/>
  <c r="DP3" i="111" s="1"/>
  <c r="DQ3" i="111" s="1"/>
  <c r="DR3" i="111" s="1"/>
  <c r="DS3" i="111" s="1"/>
  <c r="DT3" i="111" s="1"/>
  <c r="DU3" i="111" s="1"/>
  <c r="DV3" i="111" s="1"/>
  <c r="DW3" i="111" s="1"/>
  <c r="DX3" i="111" s="1"/>
  <c r="DY3" i="111" s="1"/>
  <c r="DZ3" i="111" s="1"/>
  <c r="EA3" i="111" s="1"/>
  <c r="EB3" i="111" s="1"/>
  <c r="EC3" i="111" s="1"/>
  <c r="ED3" i="111" s="1"/>
  <c r="EE3" i="111" s="1"/>
  <c r="EF3" i="111" s="1"/>
  <c r="EG3" i="111" s="1"/>
  <c r="EH3" i="111" s="1"/>
  <c r="EI3" i="111" s="1"/>
  <c r="EJ3" i="111" s="1"/>
  <c r="EK3" i="111" s="1"/>
  <c r="EL3" i="111" s="1"/>
  <c r="EM3" i="111" s="1"/>
  <c r="EN3" i="111" s="1"/>
  <c r="EO3" i="111" s="1"/>
  <c r="EP3" i="111" s="1"/>
  <c r="EQ3" i="111" s="1"/>
  <c r="D4" i="111"/>
  <c r="D5" i="111"/>
  <c r="E5" i="111" s="1"/>
  <c r="I6" i="111"/>
  <c r="J6" i="111" s="1"/>
  <c r="J7" i="111"/>
  <c r="K7" i="111" s="1"/>
  <c r="L7" i="111"/>
  <c r="M7" i="111" s="1"/>
  <c r="N7" i="111" s="1"/>
  <c r="O7" i="111" s="1"/>
  <c r="P7" i="111" s="1"/>
  <c r="K8" i="111"/>
  <c r="L8" i="111" s="1"/>
  <c r="AA9" i="111"/>
  <c r="AB9" i="111" s="1"/>
  <c r="AC9" i="111" s="1"/>
  <c r="AA10" i="111"/>
  <c r="AB10" i="111" s="1"/>
  <c r="AB24" i="111" s="1"/>
  <c r="C12" i="111"/>
  <c r="C17" i="111"/>
  <c r="D17" i="111" s="1"/>
  <c r="E17" i="111" s="1"/>
  <c r="F17" i="111" s="1"/>
  <c r="G17" i="111" s="1"/>
  <c r="H17" i="111" s="1"/>
  <c r="I17" i="111" s="1"/>
  <c r="J17" i="111" s="1"/>
  <c r="K17" i="111" s="1"/>
  <c r="L17" i="111" s="1"/>
  <c r="M17" i="111" s="1"/>
  <c r="N17" i="111" s="1"/>
  <c r="O17" i="111" s="1"/>
  <c r="P17" i="111" s="1"/>
  <c r="Q17" i="111" s="1"/>
  <c r="R17" i="111" s="1"/>
  <c r="S17" i="111" s="1"/>
  <c r="T17" i="111" s="1"/>
  <c r="U17" i="111" s="1"/>
  <c r="V17" i="111" s="1"/>
  <c r="W17" i="111" s="1"/>
  <c r="X17" i="111" s="1"/>
  <c r="Y17" i="111" s="1"/>
  <c r="Z17" i="111" s="1"/>
  <c r="AA17" i="111" s="1"/>
  <c r="AB17" i="111" s="1"/>
  <c r="AC17" i="111" s="1"/>
  <c r="AD17" i="111" s="1"/>
  <c r="AE17" i="111" s="1"/>
  <c r="AF17" i="111" s="1"/>
  <c r="AG17" i="111" s="1"/>
  <c r="AH17" i="111" s="1"/>
  <c r="AI17" i="111" s="1"/>
  <c r="AJ17" i="111" s="1"/>
  <c r="AK17" i="111" s="1"/>
  <c r="AL17" i="111" s="1"/>
  <c r="AM17" i="111" s="1"/>
  <c r="AN17" i="111" s="1"/>
  <c r="AO17" i="111" s="1"/>
  <c r="AP17" i="111" s="1"/>
  <c r="AQ17" i="111" s="1"/>
  <c r="AR17" i="111" s="1"/>
  <c r="AS17" i="111" s="1"/>
  <c r="AT17" i="111" s="1"/>
  <c r="AU17" i="111" s="1"/>
  <c r="AV17" i="111" s="1"/>
  <c r="AW17" i="111" s="1"/>
  <c r="AX17" i="111" s="1"/>
  <c r="AY17" i="111" s="1"/>
  <c r="AZ17" i="111" s="1"/>
  <c r="BA17" i="111" s="1"/>
  <c r="BB17" i="111" s="1"/>
  <c r="BC17" i="111" s="1"/>
  <c r="BD17" i="111" s="1"/>
  <c r="BE17" i="111" s="1"/>
  <c r="BF17" i="111" s="1"/>
  <c r="BG17" i="111" s="1"/>
  <c r="BH17" i="111" s="1"/>
  <c r="BI17" i="111" s="1"/>
  <c r="BJ17" i="111" s="1"/>
  <c r="BK17" i="111" s="1"/>
  <c r="BL17" i="111" s="1"/>
  <c r="BM17" i="111" s="1"/>
  <c r="BN17" i="111" s="1"/>
  <c r="BO17" i="111" s="1"/>
  <c r="BP17" i="111" s="1"/>
  <c r="BQ17" i="111" s="1"/>
  <c r="BR17" i="111" s="1"/>
  <c r="BS17" i="111" s="1"/>
  <c r="BT17" i="111" s="1"/>
  <c r="BU17" i="111" s="1"/>
  <c r="BV17" i="111" s="1"/>
  <c r="BW17" i="111" s="1"/>
  <c r="BX17" i="111" s="1"/>
  <c r="BY17" i="111" s="1"/>
  <c r="BZ17" i="111" s="1"/>
  <c r="CA17" i="111" s="1"/>
  <c r="CB17" i="111" s="1"/>
  <c r="CC17" i="111" s="1"/>
  <c r="CD17" i="111" s="1"/>
  <c r="CE17" i="111" s="1"/>
  <c r="CF17" i="111" s="1"/>
  <c r="CG17" i="111" s="1"/>
  <c r="CH17" i="111" s="1"/>
  <c r="CI17" i="111" s="1"/>
  <c r="CJ17" i="111" s="1"/>
  <c r="CK17" i="111" s="1"/>
  <c r="CL17" i="111" s="1"/>
  <c r="CM17" i="111" s="1"/>
  <c r="CN17" i="111" s="1"/>
  <c r="CO17" i="111" s="1"/>
  <c r="CP17" i="111" s="1"/>
  <c r="CQ17" i="111" s="1"/>
  <c r="CR17" i="111" s="1"/>
  <c r="CS17" i="111" s="1"/>
  <c r="CT17" i="111" s="1"/>
  <c r="CU17" i="111" s="1"/>
  <c r="CV17" i="111" s="1"/>
  <c r="CW17" i="111" s="1"/>
  <c r="CX17" i="111" s="1"/>
  <c r="CY17" i="111" s="1"/>
  <c r="CZ17" i="111" s="1"/>
  <c r="DA17" i="111" s="1"/>
  <c r="DB17" i="111" s="1"/>
  <c r="DC17" i="111" s="1"/>
  <c r="DD17" i="111" s="1"/>
  <c r="DE17" i="111" s="1"/>
  <c r="DF17" i="111" s="1"/>
  <c r="DG17" i="111" s="1"/>
  <c r="DH17" i="111" s="1"/>
  <c r="DI17" i="111" s="1"/>
  <c r="DJ17" i="111" s="1"/>
  <c r="DK17" i="111" s="1"/>
  <c r="DL17" i="111" s="1"/>
  <c r="DM17" i="111" s="1"/>
  <c r="DN17" i="111" s="1"/>
  <c r="DO17" i="111" s="1"/>
  <c r="DP17" i="111" s="1"/>
  <c r="DQ17" i="111" s="1"/>
  <c r="DR17" i="111" s="1"/>
  <c r="DS17" i="111" s="1"/>
  <c r="DT17" i="111" s="1"/>
  <c r="DU17" i="111" s="1"/>
  <c r="DV17" i="111" s="1"/>
  <c r="DW17" i="111" s="1"/>
  <c r="DX17" i="111" s="1"/>
  <c r="DY17" i="111" s="1"/>
  <c r="DZ17" i="111" s="1"/>
  <c r="EA17" i="111" s="1"/>
  <c r="EB17" i="111" s="1"/>
  <c r="EC17" i="111" s="1"/>
  <c r="ED17" i="111" s="1"/>
  <c r="EE17" i="111" s="1"/>
  <c r="EF17" i="111" s="1"/>
  <c r="EG17" i="111" s="1"/>
  <c r="EH17" i="111" s="1"/>
  <c r="EI17" i="111" s="1"/>
  <c r="EJ17" i="111" s="1"/>
  <c r="EK17" i="111" s="1"/>
  <c r="EL17" i="111" s="1"/>
  <c r="EM17" i="111" s="1"/>
  <c r="EN17" i="111" s="1"/>
  <c r="EO17" i="111" s="1"/>
  <c r="EP17" i="111" s="1"/>
  <c r="EQ17" i="111" s="1"/>
  <c r="C18" i="111"/>
  <c r="C34" i="111" s="1"/>
  <c r="D18" i="111"/>
  <c r="D19" i="111"/>
  <c r="AK19" i="111"/>
  <c r="AL19" i="111"/>
  <c r="AM19" i="111"/>
  <c r="AN19" i="111"/>
  <c r="AO19" i="111"/>
  <c r="AP19" i="111"/>
  <c r="AQ19" i="111"/>
  <c r="AR19" i="111"/>
  <c r="AS19" i="111"/>
  <c r="AT19" i="111"/>
  <c r="AU19" i="111"/>
  <c r="AV19" i="111"/>
  <c r="AW19" i="111"/>
  <c r="AX19" i="111"/>
  <c r="AY19" i="111"/>
  <c r="AZ19" i="111"/>
  <c r="BA19" i="111"/>
  <c r="BB19" i="111"/>
  <c r="BC19" i="111"/>
  <c r="BD19" i="111"/>
  <c r="BE19" i="111"/>
  <c r="BF19" i="111"/>
  <c r="BG19" i="111"/>
  <c r="BH19" i="111"/>
  <c r="BI19" i="111"/>
  <c r="BJ19" i="111"/>
  <c r="BK19" i="111"/>
  <c r="BL19" i="111"/>
  <c r="BM19" i="111"/>
  <c r="BN19" i="111"/>
  <c r="BO19" i="111"/>
  <c r="BP19" i="111"/>
  <c r="BQ19" i="111"/>
  <c r="BR19" i="111"/>
  <c r="BS19" i="111"/>
  <c r="BT19" i="111"/>
  <c r="BU19" i="111"/>
  <c r="BV19" i="111"/>
  <c r="BW19" i="111"/>
  <c r="BX19" i="111"/>
  <c r="BY19" i="111"/>
  <c r="BZ19" i="111"/>
  <c r="CA19" i="111"/>
  <c r="CB19" i="111"/>
  <c r="CC19" i="111"/>
  <c r="CD19" i="111"/>
  <c r="CE19" i="111"/>
  <c r="CF19" i="111"/>
  <c r="CG19" i="111"/>
  <c r="CH19" i="111"/>
  <c r="CI19" i="111"/>
  <c r="CJ19" i="111"/>
  <c r="CK19" i="111"/>
  <c r="CL19" i="111"/>
  <c r="CM19" i="111"/>
  <c r="CN19" i="111"/>
  <c r="CO19" i="111"/>
  <c r="CP19" i="111"/>
  <c r="CQ19" i="111"/>
  <c r="CR19" i="111"/>
  <c r="CS19" i="111"/>
  <c r="CT19" i="111"/>
  <c r="CU19" i="111"/>
  <c r="CV19" i="111"/>
  <c r="CW19" i="111"/>
  <c r="CX19" i="111"/>
  <c r="CY19" i="111"/>
  <c r="CZ19" i="111"/>
  <c r="DA19" i="111"/>
  <c r="DB19" i="111"/>
  <c r="DC19" i="111"/>
  <c r="DD19" i="111"/>
  <c r="DE19" i="111"/>
  <c r="DF19" i="111"/>
  <c r="DF28" i="111" s="1"/>
  <c r="DG19" i="111"/>
  <c r="DH19" i="111"/>
  <c r="DI19" i="111"/>
  <c r="DJ19" i="111"/>
  <c r="DK19" i="111"/>
  <c r="DK28" i="111" s="1"/>
  <c r="DL19" i="111"/>
  <c r="DL28" i="111" s="1"/>
  <c r="DM19" i="111"/>
  <c r="DM28" i="111" s="1"/>
  <c r="DN19" i="111"/>
  <c r="DN28" i="111" s="1"/>
  <c r="DO19" i="111"/>
  <c r="DO28" i="111" s="1"/>
  <c r="DP19" i="111"/>
  <c r="DQ19" i="111"/>
  <c r="DQ28" i="111" s="1"/>
  <c r="DR19" i="111"/>
  <c r="DR28" i="111" s="1"/>
  <c r="DS19" i="111"/>
  <c r="DS28" i="111" s="1"/>
  <c r="DT19" i="111"/>
  <c r="DT28" i="111" s="1"/>
  <c r="DU19" i="111"/>
  <c r="DU28" i="111" s="1"/>
  <c r="DV19" i="111"/>
  <c r="DV28" i="111" s="1"/>
  <c r="DW19" i="111"/>
  <c r="DW28" i="111" s="1"/>
  <c r="DX19" i="111"/>
  <c r="DY19" i="111"/>
  <c r="DY28" i="111" s="1"/>
  <c r="DZ19" i="111"/>
  <c r="DZ28" i="111" s="1"/>
  <c r="EA19" i="111"/>
  <c r="EA28" i="111" s="1"/>
  <c r="EB19" i="111"/>
  <c r="EB28" i="111" s="1"/>
  <c r="EC19" i="111"/>
  <c r="EC28" i="111" s="1"/>
  <c r="ED19" i="111"/>
  <c r="EE19" i="111"/>
  <c r="EF19" i="111"/>
  <c r="EG19" i="111"/>
  <c r="EH19" i="111"/>
  <c r="EH28" i="111" s="1"/>
  <c r="EI19" i="111"/>
  <c r="EI28" i="111" s="1"/>
  <c r="EJ19" i="111"/>
  <c r="EJ28" i="111" s="1"/>
  <c r="EK19" i="111"/>
  <c r="EK28" i="111" s="1"/>
  <c r="EL19" i="111"/>
  <c r="EL28" i="111" s="1"/>
  <c r="EM19" i="111"/>
  <c r="EM28" i="111" s="1"/>
  <c r="EN19" i="111"/>
  <c r="EO19" i="111"/>
  <c r="EO28" i="111" s="1"/>
  <c r="EP19" i="111"/>
  <c r="EQ19" i="111"/>
  <c r="EQ28" i="111" s="1"/>
  <c r="D20" i="111"/>
  <c r="E20" i="111"/>
  <c r="F20" i="111"/>
  <c r="G20" i="111"/>
  <c r="H20" i="111"/>
  <c r="I20" i="111"/>
  <c r="D21" i="111"/>
  <c r="E21" i="111"/>
  <c r="F21" i="111"/>
  <c r="G21" i="111"/>
  <c r="H21" i="111"/>
  <c r="I21" i="111"/>
  <c r="J21" i="111"/>
  <c r="K21" i="111"/>
  <c r="D22" i="111"/>
  <c r="E22" i="111"/>
  <c r="F22" i="111"/>
  <c r="G22" i="111"/>
  <c r="H22" i="111"/>
  <c r="I22" i="111"/>
  <c r="J22" i="111"/>
  <c r="D23" i="111"/>
  <c r="E23" i="111"/>
  <c r="F23" i="111"/>
  <c r="G23" i="111"/>
  <c r="H23" i="111"/>
  <c r="I23" i="111"/>
  <c r="J23" i="111"/>
  <c r="K23" i="111"/>
  <c r="L23" i="111"/>
  <c r="M23" i="111"/>
  <c r="N23" i="111"/>
  <c r="O23" i="111"/>
  <c r="P23" i="111"/>
  <c r="Q23" i="111"/>
  <c r="R23" i="111"/>
  <c r="S23" i="111"/>
  <c r="T23" i="111"/>
  <c r="U23" i="111"/>
  <c r="V23" i="111"/>
  <c r="W23" i="111"/>
  <c r="X23" i="111"/>
  <c r="Y23" i="111"/>
  <c r="Z23" i="111"/>
  <c r="AA23" i="111"/>
  <c r="AB23" i="111"/>
  <c r="D24" i="111"/>
  <c r="E24" i="111"/>
  <c r="F24" i="111"/>
  <c r="G24" i="111"/>
  <c r="H24" i="111"/>
  <c r="J24" i="111"/>
  <c r="K24" i="111"/>
  <c r="L24" i="111"/>
  <c r="M24" i="111"/>
  <c r="N24" i="111"/>
  <c r="O24" i="111"/>
  <c r="P24" i="111"/>
  <c r="Q24" i="111"/>
  <c r="R24" i="111"/>
  <c r="S24" i="111"/>
  <c r="T24" i="111"/>
  <c r="U24" i="111"/>
  <c r="V24" i="111"/>
  <c r="W24" i="111"/>
  <c r="X24" i="111"/>
  <c r="Y24" i="111"/>
  <c r="Z24" i="111"/>
  <c r="AA24" i="111"/>
  <c r="C28" i="111"/>
  <c r="DG28" i="111"/>
  <c r="DH28" i="111"/>
  <c r="DI28" i="111"/>
  <c r="DJ28" i="111"/>
  <c r="DP28" i="111"/>
  <c r="DX28" i="111"/>
  <c r="ED28" i="111"/>
  <c r="EE28" i="111"/>
  <c r="EF28" i="111"/>
  <c r="EG28" i="111"/>
  <c r="EN28" i="111"/>
  <c r="EP28" i="111"/>
  <c r="C33" i="111"/>
  <c r="C35" i="111"/>
  <c r="C50" i="111" s="1"/>
  <c r="C36" i="111"/>
  <c r="C37" i="111"/>
  <c r="D37" i="111" s="1"/>
  <c r="C38" i="111"/>
  <c r="D38" i="111" s="1"/>
  <c r="D53" i="111" s="1"/>
  <c r="C39" i="111"/>
  <c r="C40" i="111"/>
  <c r="AK50" i="111"/>
  <c r="AL50" i="111"/>
  <c r="AM50" i="111"/>
  <c r="AN50" i="111"/>
  <c r="AO50" i="111"/>
  <c r="AP50" i="111"/>
  <c r="AQ50" i="111"/>
  <c r="AR50" i="111"/>
  <c r="AS50" i="111"/>
  <c r="AT50" i="111"/>
  <c r="AU50" i="111"/>
  <c r="AV50" i="111"/>
  <c r="AW50" i="111"/>
  <c r="AX50" i="111"/>
  <c r="AY50" i="111"/>
  <c r="AZ50" i="111"/>
  <c r="BA50" i="111"/>
  <c r="BB50" i="111"/>
  <c r="BC50" i="111"/>
  <c r="BD50" i="111"/>
  <c r="BE50" i="111"/>
  <c r="BF50" i="111"/>
  <c r="BG50" i="111"/>
  <c r="BH50" i="111"/>
  <c r="BI50" i="111"/>
  <c r="BJ50" i="111"/>
  <c r="BK50" i="111"/>
  <c r="BL50" i="111"/>
  <c r="BM50" i="111"/>
  <c r="BN50" i="111"/>
  <c r="BO50" i="111"/>
  <c r="BP50" i="111"/>
  <c r="BQ50" i="111"/>
  <c r="BR50" i="111"/>
  <c r="BS50" i="111"/>
  <c r="BT50" i="111"/>
  <c r="BU50" i="111"/>
  <c r="BV50" i="111"/>
  <c r="BW50" i="111"/>
  <c r="BX50" i="111"/>
  <c r="BY50" i="111"/>
  <c r="BZ50" i="111"/>
  <c r="CA50" i="111"/>
  <c r="CB50" i="111"/>
  <c r="CC50" i="111"/>
  <c r="CD50" i="111"/>
  <c r="CE50" i="111"/>
  <c r="CF50" i="111"/>
  <c r="CG50" i="111"/>
  <c r="CH50" i="111"/>
  <c r="CI50" i="111"/>
  <c r="CJ50" i="111"/>
  <c r="CK50" i="111"/>
  <c r="CL50" i="111"/>
  <c r="CM50" i="111"/>
  <c r="CN50" i="111"/>
  <c r="CO50" i="111"/>
  <c r="CP50" i="111"/>
  <c r="CQ50" i="111"/>
  <c r="CR50" i="111"/>
  <c r="CS50" i="111"/>
  <c r="CT50" i="111"/>
  <c r="CU50" i="111"/>
  <c r="CV50" i="111"/>
  <c r="CW50" i="111"/>
  <c r="CX50" i="111"/>
  <c r="CY50" i="111"/>
  <c r="CZ50" i="111"/>
  <c r="DA50" i="111"/>
  <c r="DB50" i="111"/>
  <c r="DC50" i="111"/>
  <c r="DD50" i="111"/>
  <c r="DE50" i="111"/>
  <c r="DF50" i="111"/>
  <c r="DG50" i="111"/>
  <c r="DH50" i="111"/>
  <c r="DI50" i="111"/>
  <c r="DJ50" i="111"/>
  <c r="DK50" i="111"/>
  <c r="DL50" i="111"/>
  <c r="DM50" i="111"/>
  <c r="DN50" i="111"/>
  <c r="DO50" i="111"/>
  <c r="DP50" i="111"/>
  <c r="DQ50" i="111"/>
  <c r="DR50" i="111"/>
  <c r="DS50" i="111"/>
  <c r="DT50" i="111"/>
  <c r="DU50" i="111"/>
  <c r="DV50" i="111"/>
  <c r="DW50" i="111"/>
  <c r="DX50" i="111"/>
  <c r="DY50" i="111"/>
  <c r="DZ50" i="111"/>
  <c r="EA50" i="111"/>
  <c r="EB50" i="111"/>
  <c r="EC50" i="111"/>
  <c r="ED50" i="111"/>
  <c r="EE50" i="111"/>
  <c r="EF50" i="111"/>
  <c r="EG50" i="111"/>
  <c r="EH50" i="111"/>
  <c r="EI50" i="111"/>
  <c r="EJ50" i="111"/>
  <c r="EK50" i="111"/>
  <c r="EL50" i="111"/>
  <c r="EM50" i="111"/>
  <c r="EN50" i="111"/>
  <c r="EO50" i="111"/>
  <c r="EP50" i="111"/>
  <c r="EQ50" i="111"/>
  <c r="C51" i="111"/>
  <c r="C52" i="111"/>
  <c r="C54" i="111"/>
  <c r="E38" i="111" l="1"/>
  <c r="D40" i="111"/>
  <c r="E40" i="111" s="1"/>
  <c r="F40" i="111" s="1"/>
  <c r="G40" i="111" s="1"/>
  <c r="H40" i="111" s="1"/>
  <c r="F38" i="111"/>
  <c r="E53" i="111"/>
  <c r="D35" i="111"/>
  <c r="D50" i="111" s="1"/>
  <c r="D39" i="111"/>
  <c r="N21" i="111"/>
  <c r="F53" i="111"/>
  <c r="G38" i="111"/>
  <c r="C49" i="111"/>
  <c r="D34" i="111"/>
  <c r="D49" i="111" s="1"/>
  <c r="K6" i="111"/>
  <c r="J20" i="111"/>
  <c r="M8" i="111"/>
  <c r="M22" i="111" s="1"/>
  <c r="L22" i="111"/>
  <c r="C53" i="111"/>
  <c r="K22" i="111"/>
  <c r="O21" i="111"/>
  <c r="AC10" i="111"/>
  <c r="C43" i="111"/>
  <c r="M21" i="111"/>
  <c r="L21" i="111"/>
  <c r="D55" i="111"/>
  <c r="C55" i="111"/>
  <c r="E37" i="111"/>
  <c r="D52" i="111"/>
  <c r="D33" i="111"/>
  <c r="E33" i="111" s="1"/>
  <c r="F33" i="111" s="1"/>
  <c r="G33" i="111" s="1"/>
  <c r="H33" i="111" s="1"/>
  <c r="I33" i="111" s="1"/>
  <c r="J33" i="111" s="1"/>
  <c r="K33" i="111" s="1"/>
  <c r="L33" i="111" s="1"/>
  <c r="M33" i="111" s="1"/>
  <c r="N33" i="111" s="1"/>
  <c r="O33" i="111" s="1"/>
  <c r="P33" i="111" s="1"/>
  <c r="Q33" i="111" s="1"/>
  <c r="R33" i="111" s="1"/>
  <c r="S33" i="111" s="1"/>
  <c r="T33" i="111" s="1"/>
  <c r="U33" i="111" s="1"/>
  <c r="V33" i="111" s="1"/>
  <c r="W33" i="111" s="1"/>
  <c r="X33" i="111" s="1"/>
  <c r="Y33" i="111" s="1"/>
  <c r="Z33" i="111" s="1"/>
  <c r="AA33" i="111" s="1"/>
  <c r="AB33" i="111" s="1"/>
  <c r="AC33" i="111" s="1"/>
  <c r="AD33" i="111" s="1"/>
  <c r="AE33" i="111" s="1"/>
  <c r="AF33" i="111" s="1"/>
  <c r="AG33" i="111" s="1"/>
  <c r="AH33" i="111" s="1"/>
  <c r="AI33" i="111" s="1"/>
  <c r="AJ33" i="111" s="1"/>
  <c r="AK33" i="111" s="1"/>
  <c r="AL33" i="111" s="1"/>
  <c r="AM33" i="111" s="1"/>
  <c r="AN33" i="111" s="1"/>
  <c r="AO33" i="111" s="1"/>
  <c r="AP33" i="111" s="1"/>
  <c r="AQ33" i="111" s="1"/>
  <c r="AR33" i="111" s="1"/>
  <c r="AS33" i="111" s="1"/>
  <c r="AT33" i="111" s="1"/>
  <c r="AU33" i="111" s="1"/>
  <c r="AV33" i="111" s="1"/>
  <c r="AW33" i="111" s="1"/>
  <c r="AX33" i="111" s="1"/>
  <c r="AY33" i="111" s="1"/>
  <c r="AZ33" i="111" s="1"/>
  <c r="BA33" i="111" s="1"/>
  <c r="BB33" i="111" s="1"/>
  <c r="BC33" i="111" s="1"/>
  <c r="BD33" i="111" s="1"/>
  <c r="BE33" i="111" s="1"/>
  <c r="BF33" i="111" s="1"/>
  <c r="BG33" i="111" s="1"/>
  <c r="BH33" i="111" s="1"/>
  <c r="BI33" i="111" s="1"/>
  <c r="BJ33" i="111" s="1"/>
  <c r="BK33" i="111" s="1"/>
  <c r="BL33" i="111" s="1"/>
  <c r="BM33" i="111" s="1"/>
  <c r="BN33" i="111" s="1"/>
  <c r="BO33" i="111" s="1"/>
  <c r="BP33" i="111" s="1"/>
  <c r="BQ33" i="111" s="1"/>
  <c r="BR33" i="111" s="1"/>
  <c r="BS33" i="111" s="1"/>
  <c r="BT33" i="111" s="1"/>
  <c r="BU33" i="111" s="1"/>
  <c r="BV33" i="111" s="1"/>
  <c r="BW33" i="111" s="1"/>
  <c r="BX33" i="111" s="1"/>
  <c r="BY33" i="111" s="1"/>
  <c r="BZ33" i="111" s="1"/>
  <c r="CA33" i="111" s="1"/>
  <c r="CB33" i="111" s="1"/>
  <c r="CC33" i="111" s="1"/>
  <c r="CD33" i="111" s="1"/>
  <c r="CE33" i="111" s="1"/>
  <c r="CF33" i="111" s="1"/>
  <c r="CG33" i="111" s="1"/>
  <c r="CH33" i="111" s="1"/>
  <c r="CI33" i="111" s="1"/>
  <c r="CJ33" i="111" s="1"/>
  <c r="CK33" i="111" s="1"/>
  <c r="CL33" i="111" s="1"/>
  <c r="CM33" i="111" s="1"/>
  <c r="CN33" i="111" s="1"/>
  <c r="CO33" i="111" s="1"/>
  <c r="CP33" i="111" s="1"/>
  <c r="CQ33" i="111" s="1"/>
  <c r="CR33" i="111" s="1"/>
  <c r="CS33" i="111" s="1"/>
  <c r="CT33" i="111" s="1"/>
  <c r="CU33" i="111" s="1"/>
  <c r="CV33" i="111" s="1"/>
  <c r="CW33" i="111" s="1"/>
  <c r="CX33" i="111" s="1"/>
  <c r="CY33" i="111" s="1"/>
  <c r="CZ33" i="111" s="1"/>
  <c r="DA33" i="111" s="1"/>
  <c r="DB33" i="111" s="1"/>
  <c r="DC33" i="111" s="1"/>
  <c r="DD33" i="111" s="1"/>
  <c r="DE33" i="111" s="1"/>
  <c r="DF33" i="111" s="1"/>
  <c r="DG33" i="111" s="1"/>
  <c r="DH33" i="111" s="1"/>
  <c r="DI33" i="111" s="1"/>
  <c r="DJ33" i="111" s="1"/>
  <c r="DK33" i="111" s="1"/>
  <c r="DL33" i="111" s="1"/>
  <c r="DM33" i="111" s="1"/>
  <c r="DN33" i="111" s="1"/>
  <c r="DO33" i="111" s="1"/>
  <c r="DP33" i="111" s="1"/>
  <c r="DQ33" i="111" s="1"/>
  <c r="DR33" i="111" s="1"/>
  <c r="DS33" i="111" s="1"/>
  <c r="DT33" i="111" s="1"/>
  <c r="DU33" i="111" s="1"/>
  <c r="DV33" i="111" s="1"/>
  <c r="DW33" i="111" s="1"/>
  <c r="DX33" i="111" s="1"/>
  <c r="DY33" i="111" s="1"/>
  <c r="DZ33" i="111" s="1"/>
  <c r="EA33" i="111" s="1"/>
  <c r="EB33" i="111" s="1"/>
  <c r="EC33" i="111" s="1"/>
  <c r="ED33" i="111" s="1"/>
  <c r="EE33" i="111" s="1"/>
  <c r="EF33" i="111" s="1"/>
  <c r="EG33" i="111" s="1"/>
  <c r="EH33" i="111" s="1"/>
  <c r="EI33" i="111" s="1"/>
  <c r="EJ33" i="111" s="1"/>
  <c r="EK33" i="111" s="1"/>
  <c r="EL33" i="111" s="1"/>
  <c r="EM33" i="111" s="1"/>
  <c r="EN33" i="111" s="1"/>
  <c r="EO33" i="111" s="1"/>
  <c r="EP33" i="111" s="1"/>
  <c r="EQ33" i="111" s="1"/>
  <c r="C48" i="111"/>
  <c r="D48" i="111" s="1"/>
  <c r="E48" i="111" s="1"/>
  <c r="F48" i="111" s="1"/>
  <c r="G48" i="111" s="1"/>
  <c r="H48" i="111" s="1"/>
  <c r="I48" i="111" s="1"/>
  <c r="J48" i="111" s="1"/>
  <c r="K48" i="111" s="1"/>
  <c r="L48" i="111" s="1"/>
  <c r="M48" i="111" s="1"/>
  <c r="N48" i="111" s="1"/>
  <c r="O48" i="111" s="1"/>
  <c r="P48" i="111" s="1"/>
  <c r="Q48" i="111" s="1"/>
  <c r="R48" i="111" s="1"/>
  <c r="S48" i="111" s="1"/>
  <c r="T48" i="111" s="1"/>
  <c r="U48" i="111" s="1"/>
  <c r="V48" i="111" s="1"/>
  <c r="W48" i="111" s="1"/>
  <c r="X48" i="111" s="1"/>
  <c r="Y48" i="111" s="1"/>
  <c r="Z48" i="111" s="1"/>
  <c r="AA48" i="111" s="1"/>
  <c r="AB48" i="111" s="1"/>
  <c r="AC48" i="111" s="1"/>
  <c r="AD48" i="111" s="1"/>
  <c r="AE48" i="111" s="1"/>
  <c r="AF48" i="111" s="1"/>
  <c r="AG48" i="111" s="1"/>
  <c r="AH48" i="111" s="1"/>
  <c r="AI48" i="111" s="1"/>
  <c r="AJ48" i="111" s="1"/>
  <c r="AK48" i="111" s="1"/>
  <c r="AL48" i="111" s="1"/>
  <c r="AM48" i="111" s="1"/>
  <c r="AN48" i="111" s="1"/>
  <c r="AO48" i="111" s="1"/>
  <c r="AP48" i="111" s="1"/>
  <c r="AQ48" i="111" s="1"/>
  <c r="AR48" i="111" s="1"/>
  <c r="AS48" i="111" s="1"/>
  <c r="AT48" i="111" s="1"/>
  <c r="AU48" i="111" s="1"/>
  <c r="AV48" i="111" s="1"/>
  <c r="AW48" i="111" s="1"/>
  <c r="AX48" i="111" s="1"/>
  <c r="AY48" i="111" s="1"/>
  <c r="AZ48" i="111" s="1"/>
  <c r="BA48" i="111" s="1"/>
  <c r="BB48" i="111" s="1"/>
  <c r="BC48" i="111" s="1"/>
  <c r="BD48" i="111" s="1"/>
  <c r="BE48" i="111" s="1"/>
  <c r="BF48" i="111" s="1"/>
  <c r="BG48" i="111" s="1"/>
  <c r="BH48" i="111" s="1"/>
  <c r="BI48" i="111" s="1"/>
  <c r="BJ48" i="111" s="1"/>
  <c r="BK48" i="111" s="1"/>
  <c r="BL48" i="111" s="1"/>
  <c r="BM48" i="111" s="1"/>
  <c r="BN48" i="111" s="1"/>
  <c r="BO48" i="111" s="1"/>
  <c r="BP48" i="111" s="1"/>
  <c r="BQ48" i="111" s="1"/>
  <c r="BR48" i="111" s="1"/>
  <c r="BS48" i="111" s="1"/>
  <c r="BT48" i="111" s="1"/>
  <c r="BU48" i="111" s="1"/>
  <c r="BV48" i="111" s="1"/>
  <c r="BW48" i="111" s="1"/>
  <c r="BX48" i="111" s="1"/>
  <c r="BY48" i="111" s="1"/>
  <c r="BZ48" i="111" s="1"/>
  <c r="CA48" i="111" s="1"/>
  <c r="CB48" i="111" s="1"/>
  <c r="CC48" i="111" s="1"/>
  <c r="CD48" i="111" s="1"/>
  <c r="CE48" i="111" s="1"/>
  <c r="CF48" i="111" s="1"/>
  <c r="CG48" i="111" s="1"/>
  <c r="CH48" i="111" s="1"/>
  <c r="CI48" i="111" s="1"/>
  <c r="CJ48" i="111" s="1"/>
  <c r="CK48" i="111" s="1"/>
  <c r="CL48" i="111" s="1"/>
  <c r="CM48" i="111" s="1"/>
  <c r="CN48" i="111" s="1"/>
  <c r="CO48" i="111" s="1"/>
  <c r="CP48" i="111" s="1"/>
  <c r="CQ48" i="111" s="1"/>
  <c r="CR48" i="111" s="1"/>
  <c r="CS48" i="111" s="1"/>
  <c r="CT48" i="111" s="1"/>
  <c r="CU48" i="111" s="1"/>
  <c r="CV48" i="111" s="1"/>
  <c r="CW48" i="111" s="1"/>
  <c r="CX48" i="111" s="1"/>
  <c r="CY48" i="111" s="1"/>
  <c r="CZ48" i="111" s="1"/>
  <c r="DA48" i="111" s="1"/>
  <c r="DB48" i="111" s="1"/>
  <c r="DC48" i="111" s="1"/>
  <c r="DD48" i="111" s="1"/>
  <c r="DE48" i="111" s="1"/>
  <c r="DF48" i="111" s="1"/>
  <c r="DG48" i="111" s="1"/>
  <c r="DH48" i="111" s="1"/>
  <c r="DI48" i="111" s="1"/>
  <c r="DJ48" i="111" s="1"/>
  <c r="DK48" i="111" s="1"/>
  <c r="DL48" i="111" s="1"/>
  <c r="DM48" i="111" s="1"/>
  <c r="DN48" i="111" s="1"/>
  <c r="DO48" i="111" s="1"/>
  <c r="DP48" i="111" s="1"/>
  <c r="DQ48" i="111" s="1"/>
  <c r="DR48" i="111" s="1"/>
  <c r="DS48" i="111" s="1"/>
  <c r="DT48" i="111" s="1"/>
  <c r="DU48" i="111" s="1"/>
  <c r="DV48" i="111" s="1"/>
  <c r="DW48" i="111" s="1"/>
  <c r="DX48" i="111" s="1"/>
  <c r="DY48" i="111" s="1"/>
  <c r="DZ48" i="111" s="1"/>
  <c r="EA48" i="111" s="1"/>
  <c r="EB48" i="111" s="1"/>
  <c r="EC48" i="111" s="1"/>
  <c r="ED48" i="111" s="1"/>
  <c r="EE48" i="111" s="1"/>
  <c r="EF48" i="111" s="1"/>
  <c r="EG48" i="111" s="1"/>
  <c r="EH48" i="111" s="1"/>
  <c r="EI48" i="111" s="1"/>
  <c r="EJ48" i="111" s="1"/>
  <c r="EK48" i="111" s="1"/>
  <c r="EL48" i="111" s="1"/>
  <c r="EM48" i="111" s="1"/>
  <c r="EN48" i="111" s="1"/>
  <c r="EO48" i="111" s="1"/>
  <c r="EP48" i="111" s="1"/>
  <c r="EQ48" i="111" s="1"/>
  <c r="AD9" i="111"/>
  <c r="AC23" i="111"/>
  <c r="F5" i="111"/>
  <c r="E19" i="111"/>
  <c r="E35" i="111" s="1"/>
  <c r="E50" i="111" s="1"/>
  <c r="D28" i="111"/>
  <c r="D36" i="111"/>
  <c r="D51" i="111" s="1"/>
  <c r="AD10" i="111"/>
  <c r="AC24" i="111"/>
  <c r="Q7" i="111"/>
  <c r="P21" i="111"/>
  <c r="E4" i="111"/>
  <c r="D12" i="111"/>
  <c r="B13" i="58"/>
  <c r="C7" i="109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C74" i="109" s="1"/>
  <c r="C75" i="109" s="1"/>
  <c r="C76" i="109" s="1"/>
  <c r="C77" i="109" s="1"/>
  <c r="C78" i="109" s="1"/>
  <c r="C79" i="109" s="1"/>
  <c r="C80" i="109" s="1"/>
  <c r="C81" i="109" s="1"/>
  <c r="C82" i="109" s="1"/>
  <c r="C83" i="109" s="1"/>
  <c r="C84" i="109" s="1"/>
  <c r="C85" i="109" s="1"/>
  <c r="C86" i="109" s="1"/>
  <c r="C87" i="109" s="1"/>
  <c r="C88" i="109" s="1"/>
  <c r="C89" i="109" s="1"/>
  <c r="C90" i="109" s="1"/>
  <c r="C91" i="109" s="1"/>
  <c r="C92" i="109" s="1"/>
  <c r="C93" i="109" s="1"/>
  <c r="C94" i="109" s="1"/>
  <c r="C95" i="109" s="1"/>
  <c r="C96" i="109" s="1"/>
  <c r="C97" i="109" s="1"/>
  <c r="C98" i="109" s="1"/>
  <c r="C99" i="109" s="1"/>
  <c r="C100" i="109" s="1"/>
  <c r="C101" i="109" s="1"/>
  <c r="C102" i="109" s="1"/>
  <c r="C103" i="109" s="1"/>
  <c r="C104" i="109" s="1"/>
  <c r="C105" i="109" s="1"/>
  <c r="C106" i="109" s="1"/>
  <c r="C107" i="109" s="1"/>
  <c r="C108" i="109" s="1"/>
  <c r="C109" i="109" s="1"/>
  <c r="C110" i="109" s="1"/>
  <c r="C111" i="109" s="1"/>
  <c r="C112" i="109" s="1"/>
  <c r="C113" i="109" s="1"/>
  <c r="C114" i="109" s="1"/>
  <c r="C115" i="109" s="1"/>
  <c r="C116" i="109" s="1"/>
  <c r="C117" i="109" s="1"/>
  <c r="C118" i="109" s="1"/>
  <c r="C119" i="109" s="1"/>
  <c r="C120" i="109" s="1"/>
  <c r="C121" i="109" s="1"/>
  <c r="C122" i="109" s="1"/>
  <c r="C123" i="109" s="1"/>
  <c r="C124" i="109" s="1"/>
  <c r="C125" i="109" s="1"/>
  <c r="C126" i="109" s="1"/>
  <c r="C127" i="109" s="1"/>
  <c r="C128" i="109" s="1"/>
  <c r="C129" i="109" s="1"/>
  <c r="C130" i="109" s="1"/>
  <c r="C131" i="109" s="1"/>
  <c r="C132" i="109" s="1"/>
  <c r="C133" i="109" s="1"/>
  <c r="C134" i="109" s="1"/>
  <c r="C135" i="109" s="1"/>
  <c r="C136" i="109" s="1"/>
  <c r="C137" i="109" s="1"/>
  <c r="C138" i="109" s="1"/>
  <c r="C139" i="109" s="1"/>
  <c r="C140" i="109" s="1"/>
  <c r="C141" i="109" s="1"/>
  <c r="C142" i="109" s="1"/>
  <c r="C143" i="109" s="1"/>
  <c r="C144" i="109" s="1"/>
  <c r="C145" i="109" s="1"/>
  <c r="C146" i="109" s="1"/>
  <c r="C147" i="109" s="1"/>
  <c r="C148" i="109" s="1"/>
  <c r="C149" i="109" s="1"/>
  <c r="C150" i="109" s="1"/>
  <c r="C151" i="109" s="1"/>
  <c r="C152" i="109" s="1"/>
  <c r="C153" i="109" s="1"/>
  <c r="C154" i="109" s="1"/>
  <c r="C155" i="109" s="1"/>
  <c r="C156" i="109" s="1"/>
  <c r="C157" i="109" s="1"/>
  <c r="C158" i="109" s="1"/>
  <c r="C159" i="109" s="1"/>
  <c r="C160" i="109" s="1"/>
  <c r="C161" i="109" s="1"/>
  <c r="C162" i="109" s="1"/>
  <c r="C163" i="109" s="1"/>
  <c r="C164" i="109" s="1"/>
  <c r="C165" i="109" s="1"/>
  <c r="C166" i="109" s="1"/>
  <c r="C167" i="109" s="1"/>
  <c r="C168" i="109" s="1"/>
  <c r="C169" i="109" s="1"/>
  <c r="C170" i="109" s="1"/>
  <c r="C171" i="109" s="1"/>
  <c r="C172" i="109" s="1"/>
  <c r="C173" i="109" s="1"/>
  <c r="C174" i="109" s="1"/>
  <c r="C175" i="109" s="1"/>
  <c r="C176" i="109" s="1"/>
  <c r="C177" i="109" s="1"/>
  <c r="C178" i="109" s="1"/>
  <c r="C179" i="109" s="1"/>
  <c r="C180" i="109" s="1"/>
  <c r="C181" i="109" s="1"/>
  <c r="C182" i="109" s="1"/>
  <c r="C183" i="109" s="1"/>
  <c r="C184" i="109" s="1"/>
  <c r="C185" i="109" s="1"/>
  <c r="C186" i="109" s="1"/>
  <c r="C187" i="109" s="1"/>
  <c r="B4" i="109"/>
  <c r="B5" i="109" s="1"/>
  <c r="F55" i="111" l="1"/>
  <c r="H13" i="58"/>
  <c r="G13" i="58"/>
  <c r="G55" i="111"/>
  <c r="E55" i="111"/>
  <c r="E39" i="111"/>
  <c r="D54" i="111"/>
  <c r="D57" i="111" s="1"/>
  <c r="N8" i="111"/>
  <c r="N22" i="111" s="1"/>
  <c r="C57" i="111"/>
  <c r="L6" i="111"/>
  <c r="K20" i="111"/>
  <c r="H38" i="111"/>
  <c r="G53" i="111"/>
  <c r="H55" i="111"/>
  <c r="I40" i="111"/>
  <c r="G5" i="111"/>
  <c r="F19" i="111"/>
  <c r="F35" i="111" s="1"/>
  <c r="F50" i="111" s="1"/>
  <c r="D43" i="111"/>
  <c r="F37" i="111"/>
  <c r="E52" i="111"/>
  <c r="AD24" i="111"/>
  <c r="AE10" i="111"/>
  <c r="E36" i="111"/>
  <c r="E12" i="111"/>
  <c r="F4" i="111"/>
  <c r="E18" i="111"/>
  <c r="AE9" i="111"/>
  <c r="AD23" i="111"/>
  <c r="R7" i="111"/>
  <c r="Q21" i="111"/>
  <c r="O8" i="111"/>
  <c r="F39" i="111" l="1"/>
  <c r="E54" i="111"/>
  <c r="I38" i="111"/>
  <c r="H53" i="111"/>
  <c r="M6" i="111"/>
  <c r="L20" i="111"/>
  <c r="I55" i="111"/>
  <c r="J40" i="111"/>
  <c r="E51" i="111"/>
  <c r="F36" i="111"/>
  <c r="G37" i="111"/>
  <c r="F52" i="111"/>
  <c r="P8" i="111"/>
  <c r="O22" i="111"/>
  <c r="S7" i="111"/>
  <c r="R21" i="111"/>
  <c r="H5" i="111"/>
  <c r="G19" i="111"/>
  <c r="G35" i="111" s="1"/>
  <c r="G50" i="111" s="1"/>
  <c r="AE23" i="111"/>
  <c r="AF9" i="111"/>
  <c r="E28" i="111"/>
  <c r="E34" i="111"/>
  <c r="G4" i="111"/>
  <c r="F12" i="111"/>
  <c r="F18" i="111"/>
  <c r="AF10" i="111"/>
  <c r="AE24" i="111"/>
  <c r="F1" i="107"/>
  <c r="F2" i="107"/>
  <c r="G2" i="107"/>
  <c r="A5" i="107"/>
  <c r="C8" i="107"/>
  <c r="G39" i="111" l="1"/>
  <c r="F54" i="111"/>
  <c r="K40" i="111"/>
  <c r="J55" i="111"/>
  <c r="N6" i="111"/>
  <c r="M20" i="111"/>
  <c r="J38" i="111"/>
  <c r="I53" i="111"/>
  <c r="F28" i="111"/>
  <c r="F34" i="111"/>
  <c r="Q8" i="111"/>
  <c r="P22" i="111"/>
  <c r="E43" i="111"/>
  <c r="E49" i="111"/>
  <c r="E57" i="111" s="1"/>
  <c r="H37" i="111"/>
  <c r="G52" i="111"/>
  <c r="H4" i="111"/>
  <c r="G18" i="111"/>
  <c r="G12" i="111"/>
  <c r="AG9" i="111"/>
  <c r="AF23" i="111"/>
  <c r="F51" i="111"/>
  <c r="G36" i="111"/>
  <c r="AG10" i="111"/>
  <c r="AF24" i="111"/>
  <c r="I5" i="111"/>
  <c r="H19" i="111"/>
  <c r="H35" i="111" s="1"/>
  <c r="H50" i="111" s="1"/>
  <c r="T7" i="111"/>
  <c r="S21" i="111"/>
  <c r="B23" i="102"/>
  <c r="H39" i="111" l="1"/>
  <c r="G54" i="111"/>
  <c r="K38" i="111"/>
  <c r="J53" i="111"/>
  <c r="O6" i="111"/>
  <c r="N20" i="111"/>
  <c r="K55" i="111"/>
  <c r="L40" i="111"/>
  <c r="R8" i="111"/>
  <c r="Q22" i="111"/>
  <c r="G34" i="111"/>
  <c r="G28" i="111"/>
  <c r="I4" i="111"/>
  <c r="H12" i="111"/>
  <c r="H18" i="111"/>
  <c r="I37" i="111"/>
  <c r="H52" i="111"/>
  <c r="AH10" i="111"/>
  <c r="AG24" i="111"/>
  <c r="AG23" i="111"/>
  <c r="AH9" i="111"/>
  <c r="F43" i="111"/>
  <c r="F49" i="111"/>
  <c r="F57" i="111" s="1"/>
  <c r="H36" i="111"/>
  <c r="G51" i="111"/>
  <c r="U7" i="111"/>
  <c r="T21" i="111"/>
  <c r="J5" i="111"/>
  <c r="I19" i="111"/>
  <c r="I35" i="111" s="1"/>
  <c r="I50" i="111"/>
  <c r="H54" i="111" l="1"/>
  <c r="I39" i="111"/>
  <c r="C15" i="58"/>
  <c r="G15" i="58" s="1"/>
  <c r="H26" i="102"/>
  <c r="O20" i="111"/>
  <c r="P6" i="111"/>
  <c r="M40" i="111"/>
  <c r="L55" i="111"/>
  <c r="K53" i="111"/>
  <c r="L38" i="111"/>
  <c r="AI10" i="111"/>
  <c r="AH24" i="111"/>
  <c r="I36" i="111"/>
  <c r="H51" i="111"/>
  <c r="K5" i="111"/>
  <c r="J19" i="111"/>
  <c r="J35" i="111" s="1"/>
  <c r="J50" i="111"/>
  <c r="H34" i="111"/>
  <c r="H28" i="111"/>
  <c r="S8" i="111"/>
  <c r="R22" i="111"/>
  <c r="G43" i="111"/>
  <c r="G49" i="111"/>
  <c r="G57" i="111" s="1"/>
  <c r="J37" i="111"/>
  <c r="I52" i="111"/>
  <c r="AI9" i="111"/>
  <c r="AH23" i="111"/>
  <c r="V7" i="111"/>
  <c r="U21" i="111"/>
  <c r="I12" i="111"/>
  <c r="I18" i="111"/>
  <c r="J4" i="111"/>
  <c r="I15" i="58" l="1"/>
  <c r="I54" i="111"/>
  <c r="J39" i="111"/>
  <c r="L53" i="111"/>
  <c r="M38" i="111"/>
  <c r="N40" i="111"/>
  <c r="M55" i="111"/>
  <c r="Q6" i="111"/>
  <c r="P20" i="111"/>
  <c r="W7" i="111"/>
  <c r="V21" i="111"/>
  <c r="J36" i="111"/>
  <c r="I51" i="111"/>
  <c r="J52" i="111"/>
  <c r="K37" i="111"/>
  <c r="T8" i="111"/>
  <c r="S22" i="111"/>
  <c r="AJ9" i="111"/>
  <c r="AI23" i="111"/>
  <c r="K4" i="111"/>
  <c r="J12" i="111"/>
  <c r="J18" i="111"/>
  <c r="H43" i="111"/>
  <c r="H49" i="111"/>
  <c r="H57" i="111" s="1"/>
  <c r="I28" i="111"/>
  <c r="I34" i="111"/>
  <c r="L5" i="111"/>
  <c r="K19" i="111"/>
  <c r="K35" i="111" s="1"/>
  <c r="K50" i="111" s="1"/>
  <c r="AJ10" i="111"/>
  <c r="AI24" i="111"/>
  <c r="K39" i="111" l="1"/>
  <c r="J54" i="111"/>
  <c r="R6" i="111"/>
  <c r="Q20" i="111"/>
  <c r="N55" i="111"/>
  <c r="O40" i="111"/>
  <c r="M53" i="111"/>
  <c r="N38" i="111"/>
  <c r="AK9" i="111"/>
  <c r="AJ23" i="111"/>
  <c r="J51" i="111"/>
  <c r="K36" i="111"/>
  <c r="L4" i="111"/>
  <c r="K18" i="111"/>
  <c r="K12" i="111"/>
  <c r="I43" i="111"/>
  <c r="I49" i="111"/>
  <c r="I57" i="111" s="1"/>
  <c r="J28" i="111"/>
  <c r="J34" i="111"/>
  <c r="X7" i="111"/>
  <c r="W21" i="111"/>
  <c r="L37" i="111"/>
  <c r="K52" i="111"/>
  <c r="AJ24" i="111"/>
  <c r="AK10" i="111"/>
  <c r="M5" i="111"/>
  <c r="L19" i="111"/>
  <c r="L35" i="111" s="1"/>
  <c r="L50" i="111" s="1"/>
  <c r="U8" i="111"/>
  <c r="T22" i="111"/>
  <c r="L39" i="111" l="1"/>
  <c r="K54" i="111"/>
  <c r="N53" i="111"/>
  <c r="O38" i="111"/>
  <c r="S6" i="111"/>
  <c r="R20" i="111"/>
  <c r="O55" i="111"/>
  <c r="P40" i="111"/>
  <c r="Y7" i="111"/>
  <c r="X21" i="111"/>
  <c r="J43" i="111"/>
  <c r="J49" i="111"/>
  <c r="J57" i="111" s="1"/>
  <c r="V8" i="111"/>
  <c r="U22" i="111"/>
  <c r="AK23" i="111"/>
  <c r="AL9" i="111"/>
  <c r="AL10" i="111"/>
  <c r="AK24" i="111"/>
  <c r="K51" i="111"/>
  <c r="L36" i="111"/>
  <c r="M37" i="111"/>
  <c r="L52" i="111"/>
  <c r="M4" i="111"/>
  <c r="L12" i="111"/>
  <c r="L18" i="111"/>
  <c r="N5" i="111"/>
  <c r="M19" i="111"/>
  <c r="M35" i="111" s="1"/>
  <c r="M50" i="111" s="1"/>
  <c r="K28" i="111"/>
  <c r="K34" i="111"/>
  <c r="L54" i="111" l="1"/>
  <c r="M39" i="111"/>
  <c r="P55" i="111"/>
  <c r="Q40" i="111"/>
  <c r="O53" i="111"/>
  <c r="P38" i="111"/>
  <c r="T6" i="111"/>
  <c r="S20" i="111"/>
  <c r="K43" i="111"/>
  <c r="K49" i="111"/>
  <c r="K57" i="111" s="1"/>
  <c r="L51" i="111"/>
  <c r="M36" i="111"/>
  <c r="N37" i="111"/>
  <c r="M52" i="111"/>
  <c r="M12" i="111"/>
  <c r="M18" i="111"/>
  <c r="N4" i="111"/>
  <c r="W8" i="111"/>
  <c r="V22" i="111"/>
  <c r="O5" i="111"/>
  <c r="N19" i="111"/>
  <c r="N35" i="111" s="1"/>
  <c r="N50" i="111" s="1"/>
  <c r="AM10" i="111"/>
  <c r="B9" i="58" s="1"/>
  <c r="AL24" i="111"/>
  <c r="AM9" i="111"/>
  <c r="B10" i="58" s="1"/>
  <c r="AL23" i="111"/>
  <c r="L34" i="111"/>
  <c r="L28" i="111"/>
  <c r="Z7" i="111"/>
  <c r="Y21" i="111"/>
  <c r="H9" i="58" l="1"/>
  <c r="G9" i="58"/>
  <c r="G10" i="58"/>
  <c r="H10" i="58"/>
  <c r="N39" i="111"/>
  <c r="M54" i="111"/>
  <c r="U6" i="111"/>
  <c r="T20" i="111"/>
  <c r="P53" i="111"/>
  <c r="Q38" i="111"/>
  <c r="Q55" i="111"/>
  <c r="R40" i="111"/>
  <c r="M28" i="111"/>
  <c r="M34" i="111"/>
  <c r="M51" i="111"/>
  <c r="N36" i="111"/>
  <c r="AN9" i="111"/>
  <c r="AM23" i="111"/>
  <c r="P5" i="111"/>
  <c r="O19" i="111"/>
  <c r="O35" i="111" s="1"/>
  <c r="O50" i="111" s="1"/>
  <c r="O37" i="111"/>
  <c r="N52" i="111"/>
  <c r="AA7" i="111"/>
  <c r="Z21" i="111"/>
  <c r="X8" i="111"/>
  <c r="W22" i="111"/>
  <c r="L43" i="111"/>
  <c r="L49" i="111"/>
  <c r="L57" i="111" s="1"/>
  <c r="AN10" i="111"/>
  <c r="AM24" i="111"/>
  <c r="O4" i="111"/>
  <c r="N12" i="111"/>
  <c r="N18" i="111"/>
  <c r="O39" i="111" l="1"/>
  <c r="N54" i="111"/>
  <c r="Q53" i="111"/>
  <c r="R38" i="111"/>
  <c r="R55" i="111"/>
  <c r="S40" i="111"/>
  <c r="V6" i="111"/>
  <c r="U20" i="111"/>
  <c r="AO10" i="111"/>
  <c r="AN24" i="111"/>
  <c r="O52" i="111"/>
  <c r="P37" i="111"/>
  <c r="AA21" i="111"/>
  <c r="AB7" i="111"/>
  <c r="N51" i="111"/>
  <c r="O36" i="111"/>
  <c r="M43" i="111"/>
  <c r="M49" i="111"/>
  <c r="M57" i="111" s="1"/>
  <c r="Q5" i="111"/>
  <c r="P19" i="111"/>
  <c r="P35" i="111" s="1"/>
  <c r="P50" i="111" s="1"/>
  <c r="AO9" i="111"/>
  <c r="AN23" i="111"/>
  <c r="N28" i="111"/>
  <c r="N34" i="111"/>
  <c r="P4" i="111"/>
  <c r="O12" i="111"/>
  <c r="O18" i="111"/>
  <c r="Y8" i="111"/>
  <c r="X22" i="111"/>
  <c r="O54" i="111" l="1"/>
  <c r="P39" i="111"/>
  <c r="T40" i="111"/>
  <c r="S55" i="111"/>
  <c r="R53" i="111"/>
  <c r="S38" i="111"/>
  <c r="V20" i="111"/>
  <c r="W6" i="111"/>
  <c r="Q4" i="111"/>
  <c r="P12" i="111"/>
  <c r="P18" i="111"/>
  <c r="O51" i="111"/>
  <c r="P36" i="111"/>
  <c r="AB21" i="111"/>
  <c r="AC7" i="111"/>
  <c r="N43" i="111"/>
  <c r="N49" i="111"/>
  <c r="N57" i="111" s="1"/>
  <c r="R5" i="111"/>
  <c r="Q19" i="111"/>
  <c r="Q35" i="111" s="1"/>
  <c r="Q50" i="111" s="1"/>
  <c r="Z8" i="111"/>
  <c r="Y22" i="111"/>
  <c r="AP9" i="111"/>
  <c r="O34" i="111"/>
  <c r="O28" i="111"/>
  <c r="P52" i="111"/>
  <c r="Q37" i="111"/>
  <c r="AP10" i="111"/>
  <c r="Q39" i="111" l="1"/>
  <c r="P54" i="111"/>
  <c r="S53" i="111"/>
  <c r="T38" i="111"/>
  <c r="X6" i="111"/>
  <c r="W20" i="111"/>
  <c r="U40" i="111"/>
  <c r="T55" i="111"/>
  <c r="O43" i="111"/>
  <c r="O49" i="111"/>
  <c r="O57" i="111" s="1"/>
  <c r="AA8" i="111"/>
  <c r="Z22" i="111"/>
  <c r="Q52" i="111"/>
  <c r="R37" i="111"/>
  <c r="P28" i="111"/>
  <c r="P34" i="111"/>
  <c r="AQ9" i="111"/>
  <c r="AP23" i="111"/>
  <c r="S5" i="111"/>
  <c r="R19" i="111"/>
  <c r="R35" i="111" s="1"/>
  <c r="R50" i="111" s="1"/>
  <c r="P51" i="111"/>
  <c r="Q36" i="111"/>
  <c r="AQ10" i="111"/>
  <c r="AP24" i="111"/>
  <c r="AC21" i="111"/>
  <c r="AD7" i="111"/>
  <c r="Q12" i="111"/>
  <c r="Q18" i="111"/>
  <c r="R4" i="111"/>
  <c r="Q54" i="111" l="1"/>
  <c r="R39" i="111"/>
  <c r="V40" i="111"/>
  <c r="U55" i="111"/>
  <c r="Y6" i="111"/>
  <c r="X20" i="111"/>
  <c r="X30" i="111" s="1"/>
  <c r="T53" i="111"/>
  <c r="U38" i="111"/>
  <c r="P43" i="111"/>
  <c r="P49" i="111"/>
  <c r="P57" i="111" s="1"/>
  <c r="AB8" i="111"/>
  <c r="AA22" i="111"/>
  <c r="AR9" i="111"/>
  <c r="AQ23" i="111"/>
  <c r="Q51" i="111"/>
  <c r="R36" i="111"/>
  <c r="AQ24" i="111"/>
  <c r="AR10" i="111"/>
  <c r="Q28" i="111"/>
  <c r="Q34" i="111"/>
  <c r="R52" i="111"/>
  <c r="S37" i="111"/>
  <c r="R12" i="111"/>
  <c r="S4" i="111"/>
  <c r="R18" i="111"/>
  <c r="T5" i="111"/>
  <c r="S19" i="111"/>
  <c r="S35" i="111" s="1"/>
  <c r="S50" i="111" s="1"/>
  <c r="AE7" i="111"/>
  <c r="AD21" i="111"/>
  <c r="S39" i="111" l="1"/>
  <c r="R54" i="111"/>
  <c r="Z6" i="111"/>
  <c r="Y20" i="111"/>
  <c r="U53" i="111"/>
  <c r="V38" i="111"/>
  <c r="W40" i="111"/>
  <c r="V55" i="111"/>
  <c r="U5" i="111"/>
  <c r="T19" i="111"/>
  <c r="T35" i="111" s="1"/>
  <c r="T50" i="111" s="1"/>
  <c r="R51" i="111"/>
  <c r="S36" i="111"/>
  <c r="AC8" i="111"/>
  <c r="AB22" i="111"/>
  <c r="AR24" i="111"/>
  <c r="AS10" i="111"/>
  <c r="AR23" i="111"/>
  <c r="AS9" i="111"/>
  <c r="R28" i="111"/>
  <c r="R34" i="111"/>
  <c r="S12" i="111"/>
  <c r="S18" i="111"/>
  <c r="T4" i="111"/>
  <c r="AF7" i="111"/>
  <c r="AE21" i="111"/>
  <c r="Q43" i="111"/>
  <c r="Q49" i="111"/>
  <c r="Q57" i="111" s="1"/>
  <c r="S52" i="111"/>
  <c r="T37" i="111"/>
  <c r="S54" i="111" l="1"/>
  <c r="T39" i="111"/>
  <c r="X40" i="111"/>
  <c r="W55" i="111"/>
  <c r="V53" i="111"/>
  <c r="W38" i="111"/>
  <c r="AA6" i="111"/>
  <c r="Z20" i="111"/>
  <c r="S28" i="111"/>
  <c r="S34" i="111"/>
  <c r="AD8" i="111"/>
  <c r="AC22" i="111"/>
  <c r="AG7" i="111"/>
  <c r="AF21" i="111"/>
  <c r="AT9" i="111"/>
  <c r="AS23" i="111"/>
  <c r="AT10" i="111"/>
  <c r="AS24" i="111"/>
  <c r="S51" i="111"/>
  <c r="T36" i="111"/>
  <c r="R43" i="111"/>
  <c r="R49" i="111"/>
  <c r="R57" i="111" s="1"/>
  <c r="T52" i="111"/>
  <c r="U37" i="111"/>
  <c r="U4" i="111"/>
  <c r="T18" i="111"/>
  <c r="T12" i="111"/>
  <c r="U19" i="111"/>
  <c r="U35" i="111" s="1"/>
  <c r="V5" i="111"/>
  <c r="U50" i="111"/>
  <c r="T54" i="111" l="1"/>
  <c r="U39" i="111"/>
  <c r="W53" i="111"/>
  <c r="X38" i="111"/>
  <c r="Y40" i="111"/>
  <c r="X55" i="111"/>
  <c r="AB6" i="111"/>
  <c r="AA20" i="111"/>
  <c r="AE8" i="111"/>
  <c r="AD22" i="111"/>
  <c r="U12" i="111"/>
  <c r="V4" i="111"/>
  <c r="U18" i="111"/>
  <c r="S43" i="111"/>
  <c r="S49" i="111"/>
  <c r="S57" i="111" s="1"/>
  <c r="T51" i="111"/>
  <c r="U36" i="111"/>
  <c r="W5" i="111"/>
  <c r="V19" i="111"/>
  <c r="V35" i="111" s="1"/>
  <c r="V50" i="111" s="1"/>
  <c r="AH7" i="111"/>
  <c r="AG21" i="111"/>
  <c r="U52" i="111"/>
  <c r="V37" i="111"/>
  <c r="AU9" i="111"/>
  <c r="AT23" i="111"/>
  <c r="T34" i="111"/>
  <c r="T28" i="111"/>
  <c r="AU10" i="111"/>
  <c r="AT24" i="111"/>
  <c r="V39" i="111" l="1"/>
  <c r="U54" i="111"/>
  <c r="Z40" i="111"/>
  <c r="Y55" i="111"/>
  <c r="X53" i="111"/>
  <c r="Y38" i="111"/>
  <c r="AC6" i="111"/>
  <c r="AB20" i="111"/>
  <c r="U34" i="111"/>
  <c r="U28" i="111"/>
  <c r="X5" i="111"/>
  <c r="W19" i="111"/>
  <c r="W35" i="111" s="1"/>
  <c r="W50" i="111" s="1"/>
  <c r="U51" i="111"/>
  <c r="V36" i="111"/>
  <c r="V52" i="111"/>
  <c r="W37" i="111"/>
  <c r="W4" i="111"/>
  <c r="V12" i="111"/>
  <c r="V18" i="111"/>
  <c r="AI7" i="111"/>
  <c r="AH21" i="111"/>
  <c r="T43" i="111"/>
  <c r="T49" i="111"/>
  <c r="T57" i="111" s="1"/>
  <c r="AV10" i="111"/>
  <c r="AU24" i="111"/>
  <c r="AU23" i="111"/>
  <c r="AV9" i="111"/>
  <c r="AF8" i="111"/>
  <c r="AE22" i="111"/>
  <c r="W39" i="111" l="1"/>
  <c r="V54" i="111"/>
  <c r="AC20" i="111"/>
  <c r="AD6" i="111"/>
  <c r="Y53" i="111"/>
  <c r="Z38" i="111"/>
  <c r="Z55" i="111"/>
  <c r="AA40" i="111"/>
  <c r="AG8" i="111"/>
  <c r="AF22" i="111"/>
  <c r="Y5" i="111"/>
  <c r="X19" i="111"/>
  <c r="X35" i="111" s="1"/>
  <c r="X50" i="111" s="1"/>
  <c r="V51" i="111"/>
  <c r="W36" i="111"/>
  <c r="AJ7" i="111"/>
  <c r="AI21" i="111"/>
  <c r="X4" i="111"/>
  <c r="W18" i="111"/>
  <c r="W12" i="111"/>
  <c r="V34" i="111"/>
  <c r="V28" i="111"/>
  <c r="AW10" i="111"/>
  <c r="AV24" i="111"/>
  <c r="W52" i="111"/>
  <c r="X37" i="111"/>
  <c r="U43" i="111"/>
  <c r="U49" i="111"/>
  <c r="U57" i="111" s="1"/>
  <c r="AV23" i="111"/>
  <c r="AW9" i="111"/>
  <c r="W54" i="111" l="1"/>
  <c r="X39" i="111"/>
  <c r="AB40" i="111"/>
  <c r="AA55" i="111"/>
  <c r="Z53" i="111"/>
  <c r="AA38" i="111"/>
  <c r="AE6" i="111"/>
  <c r="AD20" i="111"/>
  <c r="X52" i="111"/>
  <c r="Y37" i="111"/>
  <c r="V43" i="111"/>
  <c r="V49" i="111"/>
  <c r="V57" i="111" s="1"/>
  <c r="AW23" i="111"/>
  <c r="AX9" i="111"/>
  <c r="AK7" i="111"/>
  <c r="AJ21" i="111"/>
  <c r="AH8" i="111"/>
  <c r="AG22" i="111"/>
  <c r="W51" i="111"/>
  <c r="X36" i="111"/>
  <c r="Y19" i="111"/>
  <c r="Y35" i="111" s="1"/>
  <c r="Y50" i="111" s="1"/>
  <c r="Z5" i="111"/>
  <c r="Y4" i="111"/>
  <c r="X18" i="111"/>
  <c r="X12" i="111"/>
  <c r="AX10" i="111"/>
  <c r="AW24" i="111"/>
  <c r="W34" i="111"/>
  <c r="W28" i="111"/>
  <c r="X54" i="111" l="1"/>
  <c r="Y39" i="111"/>
  <c r="AA53" i="111"/>
  <c r="AB38" i="111"/>
  <c r="AF6" i="111"/>
  <c r="AE20" i="111"/>
  <c r="AC40" i="111"/>
  <c r="AB55" i="111"/>
  <c r="W43" i="111"/>
  <c r="W49" i="111"/>
  <c r="W57" i="111" s="1"/>
  <c r="X51" i="111"/>
  <c r="Y36" i="111"/>
  <c r="AH22" i="111"/>
  <c r="AI8" i="111"/>
  <c r="AY9" i="111"/>
  <c r="AX23" i="111"/>
  <c r="Y12" i="111"/>
  <c r="Z4" i="111"/>
  <c r="Y18" i="111"/>
  <c r="Y52" i="111"/>
  <c r="Z37" i="111"/>
  <c r="AL7" i="111"/>
  <c r="AK21" i="111"/>
  <c r="X28" i="111"/>
  <c r="X34" i="111"/>
  <c r="AY10" i="111"/>
  <c r="AX24" i="111"/>
  <c r="AA5" i="111"/>
  <c r="Z19" i="111"/>
  <c r="Z35" i="111" s="1"/>
  <c r="Z50" i="111"/>
  <c r="Y54" i="111" l="1"/>
  <c r="Z39" i="111"/>
  <c r="AD40" i="111"/>
  <c r="AC55" i="111"/>
  <c r="AF20" i="111"/>
  <c r="AG6" i="111"/>
  <c r="AB53" i="111"/>
  <c r="AC38" i="111"/>
  <c r="AB5" i="111"/>
  <c r="AA19" i="111"/>
  <c r="AA35" i="111" s="1"/>
  <c r="AA50" i="111" s="1"/>
  <c r="AM7" i="111"/>
  <c r="B7" i="58" s="1"/>
  <c r="AL21" i="111"/>
  <c r="Z52" i="111"/>
  <c r="AA37" i="111"/>
  <c r="AZ10" i="111"/>
  <c r="AY24" i="111"/>
  <c r="AZ9" i="111"/>
  <c r="AY23" i="111"/>
  <c r="X43" i="111"/>
  <c r="X49" i="111"/>
  <c r="X57" i="111" s="1"/>
  <c r="Y28" i="111"/>
  <c r="Y34" i="111"/>
  <c r="AJ8" i="111"/>
  <c r="AI22" i="111"/>
  <c r="AA4" i="111"/>
  <c r="Z12" i="111"/>
  <c r="Z18" i="111"/>
  <c r="Y51" i="111"/>
  <c r="Z36" i="111"/>
  <c r="H7" i="58" l="1"/>
  <c r="G7" i="58"/>
  <c r="Z54" i="111"/>
  <c r="AA39" i="111"/>
  <c r="AH6" i="111"/>
  <c r="AG20" i="111"/>
  <c r="AC53" i="111"/>
  <c r="AD38" i="111"/>
  <c r="AD55" i="111"/>
  <c r="AE40" i="111"/>
  <c r="AA52" i="111"/>
  <c r="AB37" i="111"/>
  <c r="AZ23" i="111"/>
  <c r="BA9" i="111"/>
  <c r="AN7" i="111"/>
  <c r="AM21" i="111"/>
  <c r="Z51" i="111"/>
  <c r="AA36" i="111"/>
  <c r="AJ22" i="111"/>
  <c r="AK8" i="111"/>
  <c r="Y43" i="111"/>
  <c r="Y49" i="111"/>
  <c r="Y57" i="111" s="1"/>
  <c r="Z28" i="111"/>
  <c r="Z34" i="111"/>
  <c r="AB4" i="111"/>
  <c r="AA18" i="111"/>
  <c r="AA12" i="111"/>
  <c r="AZ24" i="111"/>
  <c r="BA10" i="111"/>
  <c r="AC5" i="111"/>
  <c r="AB19" i="111"/>
  <c r="AB35" i="111" s="1"/>
  <c r="AB50" i="111" s="1"/>
  <c r="AA54" i="111" l="1"/>
  <c r="AB39" i="111"/>
  <c r="AD53" i="111"/>
  <c r="AE38" i="111"/>
  <c r="AE55" i="111"/>
  <c r="AF40" i="111"/>
  <c r="AI6" i="111"/>
  <c r="AH20" i="111"/>
  <c r="AO7" i="111"/>
  <c r="AN21" i="111"/>
  <c r="AA51" i="111"/>
  <c r="AB36" i="111"/>
  <c r="BB9" i="111"/>
  <c r="BA23" i="111"/>
  <c r="AL8" i="111"/>
  <c r="AK22" i="111"/>
  <c r="AC19" i="111"/>
  <c r="AC35" i="111" s="1"/>
  <c r="AD5" i="111"/>
  <c r="AC50" i="111"/>
  <c r="BB10" i="111"/>
  <c r="BA24" i="111"/>
  <c r="AB52" i="111"/>
  <c r="AC37" i="111"/>
  <c r="Z43" i="111"/>
  <c r="Z49" i="111"/>
  <c r="Z57" i="111" s="1"/>
  <c r="AA28" i="111"/>
  <c r="AA34" i="111"/>
  <c r="AC4" i="111"/>
  <c r="AB18" i="111"/>
  <c r="AB12" i="111"/>
  <c r="AB54" i="111" l="1"/>
  <c r="AC39" i="111"/>
  <c r="AF55" i="111"/>
  <c r="AG40" i="111"/>
  <c r="AJ6" i="111"/>
  <c r="AI20" i="111"/>
  <c r="AE53" i="111"/>
  <c r="AF38" i="111"/>
  <c r="AM8" i="111"/>
  <c r="B6" i="58" s="1"/>
  <c r="AL22" i="111"/>
  <c r="AC12" i="111"/>
  <c r="AC18" i="111"/>
  <c r="AD4" i="111"/>
  <c r="AP7" i="111"/>
  <c r="AB34" i="111"/>
  <c r="AB28" i="111"/>
  <c r="AC52" i="111"/>
  <c r="AD37" i="111"/>
  <c r="BC9" i="111"/>
  <c r="BB23" i="111"/>
  <c r="AB51" i="111"/>
  <c r="AC36" i="111"/>
  <c r="AA43" i="111"/>
  <c r="AA49" i="111"/>
  <c r="AA57" i="111" s="1"/>
  <c r="BC10" i="111"/>
  <c r="BB24" i="111"/>
  <c r="AE5" i="111"/>
  <c r="AD19" i="111"/>
  <c r="AD35" i="111" s="1"/>
  <c r="AD50" i="111"/>
  <c r="AC54" i="111" l="1"/>
  <c r="AD39" i="111"/>
  <c r="H6" i="58"/>
  <c r="G6" i="58"/>
  <c r="AJ20" i="111"/>
  <c r="AK6" i="111"/>
  <c r="AF53" i="111"/>
  <c r="AG38" i="111"/>
  <c r="AH40" i="111"/>
  <c r="AG55" i="111"/>
  <c r="AD52" i="111"/>
  <c r="AE37" i="111"/>
  <c r="AB43" i="111"/>
  <c r="AB49" i="111"/>
  <c r="AB57" i="111" s="1"/>
  <c r="AF5" i="111"/>
  <c r="AE19" i="111"/>
  <c r="AE35" i="111" s="1"/>
  <c r="AE50" i="111" s="1"/>
  <c r="AE4" i="111"/>
  <c r="AD12" i="111"/>
  <c r="AD18" i="111"/>
  <c r="BD9" i="111"/>
  <c r="BC23" i="111"/>
  <c r="AC51" i="111"/>
  <c r="AD36" i="111"/>
  <c r="AN8" i="111"/>
  <c r="AM22" i="111"/>
  <c r="BD10" i="111"/>
  <c r="BC24" i="111"/>
  <c r="AQ7" i="111"/>
  <c r="AP21" i="111"/>
  <c r="AC34" i="111"/>
  <c r="AC28" i="111"/>
  <c r="AD54" i="111" l="1"/>
  <c r="AE39" i="111"/>
  <c r="AI40" i="111"/>
  <c r="AH55" i="111"/>
  <c r="AG53" i="111"/>
  <c r="AH38" i="111"/>
  <c r="AK20" i="111"/>
  <c r="AL6" i="111"/>
  <c r="BE9" i="111"/>
  <c r="BD23" i="111"/>
  <c r="AG5" i="111"/>
  <c r="AF19" i="111"/>
  <c r="AF35" i="111" s="1"/>
  <c r="AF50" i="111"/>
  <c r="BE10" i="111"/>
  <c r="BD24" i="111"/>
  <c r="AD51" i="111"/>
  <c r="AE36" i="111"/>
  <c r="AF4" i="111"/>
  <c r="AE12" i="111"/>
  <c r="AE18" i="111"/>
  <c r="AR7" i="111"/>
  <c r="AQ21" i="111"/>
  <c r="AE52" i="111"/>
  <c r="AF37" i="111"/>
  <c r="AD34" i="111"/>
  <c r="AD28" i="111"/>
  <c r="AC43" i="111"/>
  <c r="AC49" i="111"/>
  <c r="AC57" i="111" s="1"/>
  <c r="AO8" i="111"/>
  <c r="AN22" i="111"/>
  <c r="AE54" i="111" l="1"/>
  <c r="AF39" i="111"/>
  <c r="AH53" i="111"/>
  <c r="AI38" i="111"/>
  <c r="AL20" i="111"/>
  <c r="AM6" i="111"/>
  <c r="AJ40" i="111"/>
  <c r="AI55" i="111"/>
  <c r="AH5" i="111"/>
  <c r="AG19" i="111"/>
  <c r="AG35" i="111" s="1"/>
  <c r="AG50" i="111"/>
  <c r="BF10" i="111"/>
  <c r="BE24" i="111"/>
  <c r="AS7" i="111"/>
  <c r="AR21" i="111"/>
  <c r="AE34" i="111"/>
  <c r="AE28" i="111"/>
  <c r="AD43" i="111"/>
  <c r="AD49" i="111"/>
  <c r="AD57" i="111" s="1"/>
  <c r="AF52" i="111"/>
  <c r="AG37" i="111"/>
  <c r="AG4" i="111"/>
  <c r="AF12" i="111"/>
  <c r="AF18" i="111"/>
  <c r="AE51" i="111"/>
  <c r="AF36" i="111"/>
  <c r="AP8" i="111"/>
  <c r="BF9" i="111"/>
  <c r="BE23" i="111"/>
  <c r="H11" i="58" l="1"/>
  <c r="G11" i="58"/>
  <c r="AG39" i="111"/>
  <c r="AF54" i="111"/>
  <c r="AM20" i="111"/>
  <c r="AN6" i="111"/>
  <c r="AI53" i="111"/>
  <c r="AJ38" i="111"/>
  <c r="AJ55" i="111"/>
  <c r="AK40" i="111"/>
  <c r="BG9" i="111"/>
  <c r="BF23" i="111"/>
  <c r="AF51" i="111"/>
  <c r="AG36" i="111"/>
  <c r="AG12" i="111"/>
  <c r="AH4" i="111"/>
  <c r="AG18" i="111"/>
  <c r="AI5" i="111"/>
  <c r="AH19" i="111"/>
  <c r="AH35" i="111" s="1"/>
  <c r="AH50" i="111" s="1"/>
  <c r="AG52" i="111"/>
  <c r="AH37" i="111"/>
  <c r="AT7" i="111"/>
  <c r="AS21" i="111"/>
  <c r="AQ8" i="111"/>
  <c r="AP22" i="111"/>
  <c r="AF34" i="111"/>
  <c r="AF28" i="111"/>
  <c r="AE43" i="111"/>
  <c r="AE49" i="111"/>
  <c r="AE57" i="111" s="1"/>
  <c r="BG10" i="111"/>
  <c r="BF24" i="111"/>
  <c r="AG54" i="111" l="1"/>
  <c r="AH39" i="111"/>
  <c r="AL40" i="111"/>
  <c r="AK55" i="111"/>
  <c r="AO6" i="111"/>
  <c r="AN20" i="111"/>
  <c r="AJ53" i="111"/>
  <c r="AK38" i="111"/>
  <c r="AH52" i="111"/>
  <c r="AI37" i="111"/>
  <c r="AF43" i="111"/>
  <c r="AF49" i="111"/>
  <c r="AF57" i="111" s="1"/>
  <c r="AG28" i="111"/>
  <c r="AG34" i="111"/>
  <c r="AH12" i="111"/>
  <c r="AI4" i="111"/>
  <c r="AH18" i="111"/>
  <c r="AR8" i="111"/>
  <c r="AQ22" i="111"/>
  <c r="BH10" i="111"/>
  <c r="BG24" i="111"/>
  <c r="AU7" i="111"/>
  <c r="AT21" i="111"/>
  <c r="AG51" i="111"/>
  <c r="AH36" i="111"/>
  <c r="AJ5" i="111"/>
  <c r="AI19" i="111"/>
  <c r="AI35" i="111" s="1"/>
  <c r="AI50" i="111" s="1"/>
  <c r="BH9" i="111"/>
  <c r="BG23" i="111"/>
  <c r="AH54" i="111" l="1"/>
  <c r="AI39" i="111"/>
  <c r="AO20" i="111"/>
  <c r="AK53" i="111"/>
  <c r="AL38" i="111"/>
  <c r="AL55" i="111"/>
  <c r="AM40" i="111"/>
  <c r="AH28" i="111"/>
  <c r="AH34" i="111"/>
  <c r="AI12" i="111"/>
  <c r="AJ4" i="111"/>
  <c r="AI18" i="111"/>
  <c r="BI9" i="111"/>
  <c r="BH23" i="111"/>
  <c r="AG43" i="111"/>
  <c r="AG49" i="111"/>
  <c r="AG57" i="111" s="1"/>
  <c r="AI52" i="111"/>
  <c r="AJ37" i="111"/>
  <c r="AH51" i="111"/>
  <c r="AI36" i="111"/>
  <c r="BI10" i="111"/>
  <c r="BH24" i="111"/>
  <c r="AV7" i="111"/>
  <c r="AU21" i="111"/>
  <c r="AJ19" i="111"/>
  <c r="AJ35" i="111" s="1"/>
  <c r="AJ50" i="111"/>
  <c r="AS8" i="111"/>
  <c r="AR22" i="111"/>
  <c r="AJ39" i="111" l="1"/>
  <c r="AI54" i="111"/>
  <c r="AM55" i="111"/>
  <c r="AN40" i="111"/>
  <c r="AL53" i="111"/>
  <c r="AM38" i="111"/>
  <c r="AQ6" i="111"/>
  <c r="BI23" i="111"/>
  <c r="BJ9" i="111"/>
  <c r="AH43" i="111"/>
  <c r="AH49" i="111"/>
  <c r="AH57" i="111" s="1"/>
  <c r="AI28" i="111"/>
  <c r="AI34" i="111"/>
  <c r="AI51" i="111"/>
  <c r="AJ36" i="111"/>
  <c r="AK4" i="111"/>
  <c r="AJ12" i="111"/>
  <c r="AJ18" i="111"/>
  <c r="AW7" i="111"/>
  <c r="AV21" i="111"/>
  <c r="AT8" i="111"/>
  <c r="AS22" i="111"/>
  <c r="AJ52" i="111"/>
  <c r="AK37" i="111"/>
  <c r="BJ10" i="111"/>
  <c r="BI24" i="111"/>
  <c r="AJ54" i="111" l="1"/>
  <c r="AK39" i="111"/>
  <c r="AR6" i="111"/>
  <c r="AM53" i="111"/>
  <c r="AN38" i="111"/>
  <c r="AN55" i="111"/>
  <c r="AO40" i="111"/>
  <c r="AX7" i="111"/>
  <c r="AW21" i="111"/>
  <c r="AJ51" i="111"/>
  <c r="AK36" i="111"/>
  <c r="BK9" i="111"/>
  <c r="BJ23" i="111"/>
  <c r="AU8" i="111"/>
  <c r="AT22" i="111"/>
  <c r="AI43" i="111"/>
  <c r="AI49" i="111"/>
  <c r="AI57" i="111" s="1"/>
  <c r="AK52" i="111"/>
  <c r="AL37" i="111"/>
  <c r="AJ28" i="111"/>
  <c r="AJ34" i="111"/>
  <c r="AK12" i="111"/>
  <c r="AK18" i="111"/>
  <c r="AL4" i="111"/>
  <c r="BJ24" i="111"/>
  <c r="BK10" i="111"/>
  <c r="AK54" i="111" l="1"/>
  <c r="AL39" i="111"/>
  <c r="AN53" i="111"/>
  <c r="AO38" i="111"/>
  <c r="AO55" i="111"/>
  <c r="AP40" i="111"/>
  <c r="AS6" i="111"/>
  <c r="BL10" i="111"/>
  <c r="BK24" i="111"/>
  <c r="AK51" i="111"/>
  <c r="AL36" i="111"/>
  <c r="AL52" i="111"/>
  <c r="AM37" i="111"/>
  <c r="AV8" i="111"/>
  <c r="AU22" i="111"/>
  <c r="BK23" i="111"/>
  <c r="BL9" i="111"/>
  <c r="AJ43" i="111"/>
  <c r="AJ49" i="111"/>
  <c r="AJ57" i="111" s="1"/>
  <c r="AM4" i="111"/>
  <c r="B8" i="58" s="1"/>
  <c r="AL12" i="111"/>
  <c r="AL18" i="111"/>
  <c r="AK34" i="111"/>
  <c r="AK28" i="111"/>
  <c r="AY7" i="111"/>
  <c r="AX21" i="111"/>
  <c r="H8" i="58" l="1"/>
  <c r="G8" i="58"/>
  <c r="AL54" i="111"/>
  <c r="AM39" i="111"/>
  <c r="AQ40" i="111"/>
  <c r="AP55" i="111"/>
  <c r="AT6" i="111"/>
  <c r="AO53" i="111"/>
  <c r="AP38" i="111"/>
  <c r="AM52" i="111"/>
  <c r="AN37" i="111"/>
  <c r="AK43" i="111"/>
  <c r="AK49" i="111"/>
  <c r="AK57" i="111" s="1"/>
  <c r="AN4" i="111"/>
  <c r="AM12" i="111"/>
  <c r="AM18" i="111"/>
  <c r="AL51" i="111"/>
  <c r="AM36" i="111"/>
  <c r="BL23" i="111"/>
  <c r="BM9" i="111"/>
  <c r="AZ7" i="111"/>
  <c r="AY21" i="111"/>
  <c r="AL28" i="111"/>
  <c r="AL34" i="111"/>
  <c r="AW8" i="111"/>
  <c r="AV22" i="111"/>
  <c r="BM10" i="111"/>
  <c r="BL24" i="111"/>
  <c r="AN39" i="111" l="1"/>
  <c r="AM54" i="111"/>
  <c r="AP53" i="111"/>
  <c r="AQ38" i="111"/>
  <c r="AU6" i="111"/>
  <c r="AR40" i="111"/>
  <c r="AQ55" i="111"/>
  <c r="AX8" i="111"/>
  <c r="AW22" i="111"/>
  <c r="BN9" i="111"/>
  <c r="BM23" i="111"/>
  <c r="BA7" i="111"/>
  <c r="AZ21" i="111"/>
  <c r="AM51" i="111"/>
  <c r="AN36" i="111"/>
  <c r="AL43" i="111"/>
  <c r="AL49" i="111"/>
  <c r="AL57" i="111" s="1"/>
  <c r="AN52" i="111"/>
  <c r="AO37" i="111"/>
  <c r="AO4" i="111"/>
  <c r="AN12" i="111"/>
  <c r="AN18" i="111"/>
  <c r="BN10" i="111"/>
  <c r="BM24" i="111"/>
  <c r="AM34" i="111"/>
  <c r="AM28" i="111"/>
  <c r="AN54" i="111" l="1"/>
  <c r="AO39" i="111"/>
  <c r="AV6" i="111"/>
  <c r="AR55" i="111"/>
  <c r="AS40" i="111"/>
  <c r="AQ53" i="111"/>
  <c r="AR38" i="111"/>
  <c r="AO12" i="111"/>
  <c r="AP4" i="111"/>
  <c r="AO18" i="111"/>
  <c r="AO52" i="111"/>
  <c r="AP37" i="111"/>
  <c r="BO9" i="111"/>
  <c r="BN23" i="111"/>
  <c r="AX22" i="111"/>
  <c r="AY8" i="111"/>
  <c r="AN51" i="111"/>
  <c r="AO36" i="111"/>
  <c r="BA21" i="111"/>
  <c r="BB7" i="111"/>
  <c r="BO10" i="111"/>
  <c r="BN24" i="111"/>
  <c r="AM43" i="111"/>
  <c r="AM49" i="111"/>
  <c r="AM57" i="111" s="1"/>
  <c r="AN28" i="111"/>
  <c r="AN34" i="111"/>
  <c r="AO54" i="111" l="1"/>
  <c r="AP39" i="111"/>
  <c r="AP43" i="111" s="1"/>
  <c r="AS55" i="111"/>
  <c r="AT40" i="111"/>
  <c r="AR53" i="111"/>
  <c r="AS38" i="111"/>
  <c r="AW6" i="111"/>
  <c r="AO28" i="111"/>
  <c r="AO34" i="111"/>
  <c r="BO24" i="111"/>
  <c r="BP10" i="111"/>
  <c r="AO51" i="111"/>
  <c r="BC7" i="111"/>
  <c r="BB21" i="111"/>
  <c r="AP52" i="111"/>
  <c r="AQ37" i="111"/>
  <c r="AZ8" i="111"/>
  <c r="AY22" i="111"/>
  <c r="AQ4" i="111"/>
  <c r="AP12" i="111"/>
  <c r="AP18" i="111"/>
  <c r="AN43" i="111"/>
  <c r="AN49" i="111"/>
  <c r="AN57" i="111" s="1"/>
  <c r="BP9" i="111"/>
  <c r="BO23" i="111"/>
  <c r="AP54" i="111" l="1"/>
  <c r="AQ39" i="111"/>
  <c r="AS53" i="111"/>
  <c r="AT38" i="111"/>
  <c r="AX6" i="111"/>
  <c r="AU40" i="111"/>
  <c r="AT55" i="111"/>
  <c r="AO43" i="111"/>
  <c r="AO49" i="111"/>
  <c r="AO57" i="111" s="1"/>
  <c r="BP24" i="111"/>
  <c r="BQ10" i="111"/>
  <c r="AR4" i="111"/>
  <c r="AQ12" i="111"/>
  <c r="AQ18" i="111"/>
  <c r="BD7" i="111"/>
  <c r="BC21" i="111"/>
  <c r="BA8" i="111"/>
  <c r="AZ22" i="111"/>
  <c r="AP51" i="111"/>
  <c r="AQ36" i="111"/>
  <c r="AQ52" i="111"/>
  <c r="AR37" i="111"/>
  <c r="BQ9" i="111"/>
  <c r="BP23" i="111"/>
  <c r="AP28" i="111"/>
  <c r="AP34" i="111"/>
  <c r="AR39" i="111" l="1"/>
  <c r="AQ54" i="111"/>
  <c r="AV40" i="111"/>
  <c r="AU55" i="111"/>
  <c r="AY6" i="111"/>
  <c r="AT53" i="111"/>
  <c r="AU38" i="111"/>
  <c r="AS4" i="111"/>
  <c r="AR12" i="111"/>
  <c r="AR18" i="111"/>
  <c r="AP49" i="111"/>
  <c r="AP57" i="111" s="1"/>
  <c r="BR10" i="111"/>
  <c r="BQ24" i="111"/>
  <c r="BE7" i="111"/>
  <c r="BD21" i="111"/>
  <c r="BB8" i="111"/>
  <c r="BA22" i="111"/>
  <c r="AQ28" i="111"/>
  <c r="AQ34" i="111"/>
  <c r="BQ23" i="111"/>
  <c r="BR9" i="111"/>
  <c r="AQ51" i="111"/>
  <c r="AR36" i="111"/>
  <c r="AR52" i="111"/>
  <c r="AS37" i="111"/>
  <c r="AR54" i="111" l="1"/>
  <c r="AS39" i="111"/>
  <c r="AZ6" i="111"/>
  <c r="AU53" i="111"/>
  <c r="AV38" i="111"/>
  <c r="AW40" i="111"/>
  <c r="AV55" i="111"/>
  <c r="AR51" i="111"/>
  <c r="AS36" i="111"/>
  <c r="BR24" i="111"/>
  <c r="BS10" i="111"/>
  <c r="BC8" i="111"/>
  <c r="BB22" i="111"/>
  <c r="AQ43" i="111"/>
  <c r="AQ49" i="111"/>
  <c r="AQ57" i="111" s="1"/>
  <c r="BS9" i="111"/>
  <c r="BR23" i="111"/>
  <c r="AS52" i="111"/>
  <c r="AT37" i="111"/>
  <c r="AS12" i="111"/>
  <c r="AS18" i="111"/>
  <c r="AT4" i="111"/>
  <c r="AR34" i="111"/>
  <c r="AR28" i="111"/>
  <c r="BF7" i="111"/>
  <c r="BE21" i="111"/>
  <c r="AS54" i="111" l="1"/>
  <c r="AT39" i="111"/>
  <c r="AX40" i="111"/>
  <c r="AW55" i="111"/>
  <c r="AV53" i="111"/>
  <c r="AW38" i="111"/>
  <c r="BA6" i="111"/>
  <c r="AS34" i="111"/>
  <c r="AS28" i="111"/>
  <c r="BD8" i="111"/>
  <c r="BC22" i="111"/>
  <c r="BT10" i="111"/>
  <c r="BS24" i="111"/>
  <c r="BT9" i="111"/>
  <c r="BS23" i="111"/>
  <c r="AT52" i="111"/>
  <c r="AU37" i="111"/>
  <c r="AS51" i="111"/>
  <c r="AT36" i="111"/>
  <c r="AU4" i="111"/>
  <c r="AT18" i="111"/>
  <c r="AT12" i="111"/>
  <c r="AR43" i="111"/>
  <c r="AR49" i="111"/>
  <c r="AR57" i="111" s="1"/>
  <c r="BG7" i="111"/>
  <c r="BF21" i="111"/>
  <c r="AU39" i="111" l="1"/>
  <c r="AT54" i="111"/>
  <c r="AW53" i="111"/>
  <c r="AX38" i="111"/>
  <c r="BB6" i="111"/>
  <c r="AX55" i="111"/>
  <c r="AY40" i="111"/>
  <c r="AU52" i="111"/>
  <c r="AV37" i="111"/>
  <c r="BT23" i="111"/>
  <c r="BU9" i="111"/>
  <c r="BE8" i="111"/>
  <c r="BD22" i="111"/>
  <c r="AT34" i="111"/>
  <c r="AT28" i="111"/>
  <c r="AV4" i="111"/>
  <c r="AU12" i="111"/>
  <c r="AU18" i="111"/>
  <c r="BU10" i="111"/>
  <c r="BT24" i="111"/>
  <c r="AT51" i="111"/>
  <c r="AU36" i="111"/>
  <c r="BH7" i="111"/>
  <c r="BG21" i="111"/>
  <c r="AS43" i="111"/>
  <c r="AS49" i="111"/>
  <c r="AS57" i="111" s="1"/>
  <c r="AV39" i="111" l="1"/>
  <c r="AU54" i="111"/>
  <c r="AZ40" i="111"/>
  <c r="AY55" i="111"/>
  <c r="BC6" i="111"/>
  <c r="AX53" i="111"/>
  <c r="AY38" i="111"/>
  <c r="AU34" i="111"/>
  <c r="AU28" i="111"/>
  <c r="BF8" i="111"/>
  <c r="BE22" i="111"/>
  <c r="BV10" i="111"/>
  <c r="BU24" i="111"/>
  <c r="AV52" i="111"/>
  <c r="AW37" i="111"/>
  <c r="BI7" i="111"/>
  <c r="BH21" i="111"/>
  <c r="AU51" i="111"/>
  <c r="AV36" i="111"/>
  <c r="AW4" i="111"/>
  <c r="AV12" i="111"/>
  <c r="AV18" i="111"/>
  <c r="AT43" i="111"/>
  <c r="AT49" i="111"/>
  <c r="AT57" i="111" s="1"/>
  <c r="BV9" i="111"/>
  <c r="BU23" i="111"/>
  <c r="AW39" i="111" l="1"/>
  <c r="AV54" i="111"/>
  <c r="BD6" i="111"/>
  <c r="AY53" i="111"/>
  <c r="AZ38" i="111"/>
  <c r="AZ55" i="111"/>
  <c r="BA40" i="111"/>
  <c r="BJ7" i="111"/>
  <c r="BI21" i="111"/>
  <c r="AW52" i="111"/>
  <c r="AX37" i="111"/>
  <c r="AU43" i="111"/>
  <c r="AU49" i="111"/>
  <c r="AU57" i="111" s="1"/>
  <c r="AV34" i="111"/>
  <c r="AV28" i="111"/>
  <c r="BG8" i="111"/>
  <c r="BF22" i="111"/>
  <c r="AW12" i="111"/>
  <c r="AX4" i="111"/>
  <c r="AW18" i="111"/>
  <c r="AV51" i="111"/>
  <c r="AW36" i="111"/>
  <c r="BW9" i="111"/>
  <c r="BV23" i="111"/>
  <c r="BW10" i="111"/>
  <c r="BV24" i="111"/>
  <c r="AX39" i="111" l="1"/>
  <c r="AW54" i="111"/>
  <c r="BA55" i="111"/>
  <c r="BB40" i="111"/>
  <c r="BE6" i="111"/>
  <c r="AZ53" i="111"/>
  <c r="BA38" i="111"/>
  <c r="AX12" i="111"/>
  <c r="AY4" i="111"/>
  <c r="AX18" i="111"/>
  <c r="BX9" i="111"/>
  <c r="BW23" i="111"/>
  <c r="AX52" i="111"/>
  <c r="AY37" i="111"/>
  <c r="BH8" i="111"/>
  <c r="BG22" i="111"/>
  <c r="AV43" i="111"/>
  <c r="AV49" i="111"/>
  <c r="AV57" i="111" s="1"/>
  <c r="BK7" i="111"/>
  <c r="BJ21" i="111"/>
  <c r="AW51" i="111"/>
  <c r="AX36" i="111"/>
  <c r="BX10" i="111"/>
  <c r="BW24" i="111"/>
  <c r="AW28" i="111"/>
  <c r="AW34" i="111"/>
  <c r="AX54" i="111" l="1"/>
  <c r="AY39" i="111"/>
  <c r="BA53" i="111"/>
  <c r="BB38" i="111"/>
  <c r="BF6" i="111"/>
  <c r="BC40" i="111"/>
  <c r="BB55" i="111"/>
  <c r="AX28" i="111"/>
  <c r="AX34" i="111"/>
  <c r="BL7" i="111"/>
  <c r="BK21" i="111"/>
  <c r="AY52" i="111"/>
  <c r="AZ37" i="111"/>
  <c r="AZ4" i="111"/>
  <c r="AY18" i="111"/>
  <c r="AY12" i="111"/>
  <c r="BY10" i="111"/>
  <c r="BX24" i="111"/>
  <c r="AX51" i="111"/>
  <c r="AY36" i="111"/>
  <c r="BY9" i="111"/>
  <c r="BX23" i="111"/>
  <c r="AW43" i="111"/>
  <c r="AW49" i="111"/>
  <c r="AW57" i="111" s="1"/>
  <c r="BI8" i="111"/>
  <c r="BH22" i="111"/>
  <c r="AY54" i="111" l="1"/>
  <c r="AZ39" i="111"/>
  <c r="BG6" i="111"/>
  <c r="BC55" i="111"/>
  <c r="BD40" i="111"/>
  <c r="BB53" i="111"/>
  <c r="BC38" i="111"/>
  <c r="BZ10" i="111"/>
  <c r="BY24" i="111"/>
  <c r="BY23" i="111"/>
  <c r="BZ9" i="111"/>
  <c r="AY51" i="111"/>
  <c r="AZ36" i="111"/>
  <c r="AY28" i="111"/>
  <c r="AY34" i="111"/>
  <c r="BA4" i="111"/>
  <c r="AZ12" i="111"/>
  <c r="AZ18" i="111"/>
  <c r="AZ52" i="111"/>
  <c r="BA37" i="111"/>
  <c r="BM7" i="111"/>
  <c r="BL21" i="111"/>
  <c r="AX43" i="111"/>
  <c r="AX49" i="111"/>
  <c r="AX57" i="111" s="1"/>
  <c r="BJ8" i="111"/>
  <c r="BI22" i="111"/>
  <c r="AZ54" i="111" l="1"/>
  <c r="BA39" i="111"/>
  <c r="BC53" i="111"/>
  <c r="BD38" i="111"/>
  <c r="BE40" i="111"/>
  <c r="BD55" i="111"/>
  <c r="BH6" i="111"/>
  <c r="BK8" i="111"/>
  <c r="BJ22" i="111"/>
  <c r="CA9" i="111"/>
  <c r="BZ23" i="111"/>
  <c r="AY43" i="111"/>
  <c r="AY49" i="111"/>
  <c r="AY57" i="111" s="1"/>
  <c r="AZ28" i="111"/>
  <c r="AZ34" i="111"/>
  <c r="BA12" i="111"/>
  <c r="BA18" i="111"/>
  <c r="BB4" i="111"/>
  <c r="CA10" i="111"/>
  <c r="BZ24" i="111"/>
  <c r="BN7" i="111"/>
  <c r="BM21" i="111"/>
  <c r="BA52" i="111"/>
  <c r="BB37" i="111"/>
  <c r="AZ51" i="111"/>
  <c r="BA36" i="111"/>
  <c r="BA54" i="111" l="1"/>
  <c r="BB39" i="111"/>
  <c r="BI6" i="111"/>
  <c r="BE55" i="111"/>
  <c r="BF40" i="111"/>
  <c r="BD53" i="111"/>
  <c r="BE38" i="111"/>
  <c r="BO7" i="111"/>
  <c r="BN21" i="111"/>
  <c r="CB10" i="111"/>
  <c r="CA24" i="111"/>
  <c r="BL8" i="111"/>
  <c r="BK22" i="111"/>
  <c r="CB9" i="111"/>
  <c r="CA23" i="111"/>
  <c r="AZ43" i="111"/>
  <c r="AZ49" i="111"/>
  <c r="AZ57" i="111" s="1"/>
  <c r="BA51" i="111"/>
  <c r="BB36" i="111"/>
  <c r="BC4" i="111"/>
  <c r="BB18" i="111"/>
  <c r="BB12" i="111"/>
  <c r="BB52" i="111"/>
  <c r="BC37" i="111"/>
  <c r="BA28" i="111"/>
  <c r="BA34" i="111"/>
  <c r="BB54" i="111" l="1"/>
  <c r="BC39" i="111"/>
  <c r="BG40" i="111"/>
  <c r="BF55" i="111"/>
  <c r="BE53" i="111"/>
  <c r="BF38" i="111"/>
  <c r="BJ6" i="111"/>
  <c r="BB51" i="111"/>
  <c r="BC36" i="111"/>
  <c r="CC9" i="111"/>
  <c r="CB23" i="111"/>
  <c r="CC10" i="111"/>
  <c r="CB24" i="111"/>
  <c r="BC52" i="111"/>
  <c r="BD37" i="111"/>
  <c r="BM8" i="111"/>
  <c r="BL22" i="111"/>
  <c r="BB28" i="111"/>
  <c r="BB34" i="111"/>
  <c r="BA43" i="111"/>
  <c r="BA49" i="111"/>
  <c r="BA57" i="111" s="1"/>
  <c r="BD4" i="111"/>
  <c r="BC12" i="111"/>
  <c r="BC18" i="111"/>
  <c r="BP7" i="111"/>
  <c r="BO21" i="111"/>
  <c r="C12" i="58" l="1"/>
  <c r="I12" i="58" s="1"/>
  <c r="BD39" i="111"/>
  <c r="BC54" i="111"/>
  <c r="BK6" i="111"/>
  <c r="BF53" i="111"/>
  <c r="BG38" i="111"/>
  <c r="BH40" i="111"/>
  <c r="BG55" i="111"/>
  <c r="CD9" i="111"/>
  <c r="CC23" i="111"/>
  <c r="BB43" i="111"/>
  <c r="BB49" i="111"/>
  <c r="BB57" i="111" s="1"/>
  <c r="CD10" i="111"/>
  <c r="CC24" i="111"/>
  <c r="BC34" i="111"/>
  <c r="BC28" i="111"/>
  <c r="BN8" i="111"/>
  <c r="BM22" i="111"/>
  <c r="BE4" i="111"/>
  <c r="BD12" i="111"/>
  <c r="BD18" i="111"/>
  <c r="BD52" i="111"/>
  <c r="BE37" i="111"/>
  <c r="BC51" i="111"/>
  <c r="BD36" i="111"/>
  <c r="BQ7" i="111"/>
  <c r="BP21" i="111"/>
  <c r="G12" i="58" l="1"/>
  <c r="BD54" i="111"/>
  <c r="BE39" i="111"/>
  <c r="BH55" i="111"/>
  <c r="BI40" i="111"/>
  <c r="BG53" i="111"/>
  <c r="BH38" i="111"/>
  <c r="BL6" i="111"/>
  <c r="BE12" i="111"/>
  <c r="BF4" i="111"/>
  <c r="BE18" i="111"/>
  <c r="BO8" i="111"/>
  <c r="BN22" i="111"/>
  <c r="BD51" i="111"/>
  <c r="BE36" i="111"/>
  <c r="BC43" i="111"/>
  <c r="BC49" i="111"/>
  <c r="BC57" i="111" s="1"/>
  <c r="BE52" i="111"/>
  <c r="BF37" i="111"/>
  <c r="CE10" i="111"/>
  <c r="CD24" i="111"/>
  <c r="CE9" i="111"/>
  <c r="CD23" i="111"/>
  <c r="BR7" i="111"/>
  <c r="BQ21" i="111"/>
  <c r="BD34" i="111"/>
  <c r="BD28" i="111"/>
  <c r="BE54" i="111" l="1"/>
  <c r="BF39" i="111"/>
  <c r="BM6" i="111"/>
  <c r="BH53" i="111"/>
  <c r="BI38" i="111"/>
  <c r="BI55" i="111"/>
  <c r="BJ40" i="111"/>
  <c r="BS7" i="111"/>
  <c r="BR21" i="111"/>
  <c r="CF10" i="111"/>
  <c r="CE24" i="111"/>
  <c r="BF52" i="111"/>
  <c r="BG37" i="111"/>
  <c r="BP8" i="111"/>
  <c r="BO22" i="111"/>
  <c r="CF9" i="111"/>
  <c r="CE23" i="111"/>
  <c r="BG4" i="111"/>
  <c r="BF12" i="111"/>
  <c r="BF18" i="111"/>
  <c r="BE28" i="111"/>
  <c r="BE34" i="111"/>
  <c r="BD43" i="111"/>
  <c r="BD49" i="111"/>
  <c r="BD57" i="111" s="1"/>
  <c r="BE51" i="111"/>
  <c r="BF36" i="111"/>
  <c r="BF54" i="111" l="1"/>
  <c r="BG39" i="111"/>
  <c r="BI53" i="111"/>
  <c r="BJ38" i="111"/>
  <c r="BK40" i="111"/>
  <c r="BJ55" i="111"/>
  <c r="BN6" i="111"/>
  <c r="CG10" i="111"/>
  <c r="CF24" i="111"/>
  <c r="BH4" i="111"/>
  <c r="BG12" i="111"/>
  <c r="BG18" i="111"/>
  <c r="BQ8" i="111"/>
  <c r="BP22" i="111"/>
  <c r="BE43" i="111"/>
  <c r="BE49" i="111"/>
  <c r="BE57" i="111" s="1"/>
  <c r="BT7" i="111"/>
  <c r="BS21" i="111"/>
  <c r="CG9" i="111"/>
  <c r="CF23" i="111"/>
  <c r="BF28" i="111"/>
  <c r="BF34" i="111"/>
  <c r="BG52" i="111"/>
  <c r="BH37" i="111"/>
  <c r="BF51" i="111"/>
  <c r="BG36" i="111"/>
  <c r="BH39" i="111" l="1"/>
  <c r="BG54" i="111"/>
  <c r="BL40" i="111"/>
  <c r="BK55" i="111"/>
  <c r="BJ53" i="111"/>
  <c r="BK38" i="111"/>
  <c r="BO6" i="111"/>
  <c r="BG51" i="111"/>
  <c r="BH36" i="111"/>
  <c r="BH52" i="111"/>
  <c r="BI37" i="111"/>
  <c r="BG28" i="111"/>
  <c r="BG34" i="111"/>
  <c r="CG23" i="111"/>
  <c r="CH9" i="111"/>
  <c r="BI4" i="111"/>
  <c r="BH12" i="111"/>
  <c r="BH18" i="111"/>
  <c r="BF43" i="111"/>
  <c r="BF49" i="111"/>
  <c r="BF57" i="111" s="1"/>
  <c r="CH10" i="111"/>
  <c r="CG24" i="111"/>
  <c r="BU7" i="111"/>
  <c r="BT21" i="111"/>
  <c r="BR8" i="111"/>
  <c r="BQ22" i="111"/>
  <c r="BH54" i="111" l="1"/>
  <c r="BI39" i="111"/>
  <c r="BK53" i="111"/>
  <c r="BL38" i="111"/>
  <c r="BP6" i="111"/>
  <c r="BM40" i="111"/>
  <c r="BL55" i="111"/>
  <c r="CI9" i="111"/>
  <c r="CH23" i="111"/>
  <c r="CI10" i="111"/>
  <c r="CH24" i="111"/>
  <c r="BH28" i="111"/>
  <c r="BH34" i="111"/>
  <c r="BG43" i="111"/>
  <c r="BG49" i="111"/>
  <c r="BG57" i="111" s="1"/>
  <c r="BH51" i="111"/>
  <c r="BI36" i="111"/>
  <c r="BV7" i="111"/>
  <c r="BU21" i="111"/>
  <c r="BS8" i="111"/>
  <c r="BR22" i="111"/>
  <c r="BI12" i="111"/>
  <c r="BI18" i="111"/>
  <c r="BJ4" i="111"/>
  <c r="BI52" i="111"/>
  <c r="BJ37" i="111"/>
  <c r="BI54" i="111" l="1"/>
  <c r="BJ39" i="111"/>
  <c r="BQ6" i="111"/>
  <c r="BN40" i="111"/>
  <c r="BM55" i="111"/>
  <c r="BL53" i="111"/>
  <c r="BM38" i="111"/>
  <c r="BK4" i="111"/>
  <c r="BJ18" i="111"/>
  <c r="BJ12" i="111"/>
  <c r="BI51" i="111"/>
  <c r="BJ36" i="111"/>
  <c r="CI23" i="111"/>
  <c r="CJ9" i="111"/>
  <c r="BH43" i="111"/>
  <c r="BH49" i="111"/>
  <c r="BH57" i="111" s="1"/>
  <c r="BJ52" i="111"/>
  <c r="BK37" i="111"/>
  <c r="BI28" i="111"/>
  <c r="BI34" i="111"/>
  <c r="CJ10" i="111"/>
  <c r="CI24" i="111"/>
  <c r="BW7" i="111"/>
  <c r="BV21" i="111"/>
  <c r="BT8" i="111"/>
  <c r="BS22" i="111"/>
  <c r="BK39" i="111" l="1"/>
  <c r="BJ54" i="111"/>
  <c r="BM53" i="111"/>
  <c r="BN38" i="111"/>
  <c r="BN55" i="111"/>
  <c r="BO40" i="111"/>
  <c r="BR6" i="111"/>
  <c r="BJ51" i="111"/>
  <c r="BK36" i="111"/>
  <c r="BX7" i="111"/>
  <c r="BW21" i="111"/>
  <c r="BI43" i="111"/>
  <c r="BI49" i="111"/>
  <c r="BI57" i="111" s="1"/>
  <c r="BJ34" i="111"/>
  <c r="BJ28" i="111"/>
  <c r="BU8" i="111"/>
  <c r="BT22" i="111"/>
  <c r="BK52" i="111"/>
  <c r="BL37" i="111"/>
  <c r="CK10" i="111"/>
  <c r="CJ24" i="111"/>
  <c r="CJ23" i="111"/>
  <c r="CK9" i="111"/>
  <c r="BL4" i="111"/>
  <c r="BK18" i="111"/>
  <c r="BK12" i="111"/>
  <c r="BK54" i="111" l="1"/>
  <c r="BL39" i="111"/>
  <c r="BS6" i="111"/>
  <c r="BO55" i="111"/>
  <c r="BP40" i="111"/>
  <c r="BN53" i="111"/>
  <c r="BO38" i="111"/>
  <c r="BV8" i="111"/>
  <c r="BU22" i="111"/>
  <c r="BL52" i="111"/>
  <c r="BM37" i="111"/>
  <c r="BJ43" i="111"/>
  <c r="BJ49" i="111"/>
  <c r="BJ57" i="111" s="1"/>
  <c r="BM4" i="111"/>
  <c r="BL18" i="111"/>
  <c r="BL12" i="111"/>
  <c r="BK51" i="111"/>
  <c r="BL36" i="111"/>
  <c r="CL10" i="111"/>
  <c r="CK24" i="111"/>
  <c r="BY7" i="111"/>
  <c r="BX21" i="111"/>
  <c r="CK23" i="111"/>
  <c r="CL9" i="111"/>
  <c r="BK34" i="111"/>
  <c r="BK28" i="111"/>
  <c r="BL54" i="111" l="1"/>
  <c r="BM39" i="111"/>
  <c r="BO53" i="111"/>
  <c r="BP38" i="111"/>
  <c r="BP55" i="111"/>
  <c r="BQ40" i="111"/>
  <c r="BT6" i="111"/>
  <c r="BZ7" i="111"/>
  <c r="BY21" i="111"/>
  <c r="BK43" i="111"/>
  <c r="BK49" i="111"/>
  <c r="BK57" i="111" s="1"/>
  <c r="BL28" i="111"/>
  <c r="BL34" i="111"/>
  <c r="CM10" i="111"/>
  <c r="CL24" i="111"/>
  <c r="CM9" i="111"/>
  <c r="CL23" i="111"/>
  <c r="BM52" i="111"/>
  <c r="BN37" i="111"/>
  <c r="BM18" i="111"/>
  <c r="BM12" i="111"/>
  <c r="BN4" i="111"/>
  <c r="BW8" i="111"/>
  <c r="BV22" i="111"/>
  <c r="BL51" i="111"/>
  <c r="BM36" i="111"/>
  <c r="BM54" i="111" l="1"/>
  <c r="BN39" i="111"/>
  <c r="BQ55" i="111"/>
  <c r="BR40" i="111"/>
  <c r="BU6" i="111"/>
  <c r="BP53" i="111"/>
  <c r="BQ38" i="111"/>
  <c r="BM28" i="111"/>
  <c r="BM34" i="111"/>
  <c r="CN9" i="111"/>
  <c r="CM23" i="111"/>
  <c r="BL43" i="111"/>
  <c r="BL49" i="111"/>
  <c r="BL57" i="111" s="1"/>
  <c r="BN12" i="111"/>
  <c r="BO4" i="111"/>
  <c r="BN18" i="111"/>
  <c r="BM51" i="111"/>
  <c r="BN36" i="111"/>
  <c r="BW22" i="111"/>
  <c r="BX8" i="111"/>
  <c r="BN52" i="111"/>
  <c r="BO37" i="111"/>
  <c r="CA7" i="111"/>
  <c r="BZ21" i="111"/>
  <c r="CN10" i="111"/>
  <c r="CM24" i="111"/>
  <c r="BN54" i="111" l="1"/>
  <c r="BO39" i="111"/>
  <c r="BQ53" i="111"/>
  <c r="BR38" i="111"/>
  <c r="BV6" i="111"/>
  <c r="BS40" i="111"/>
  <c r="BR55" i="111"/>
  <c r="CO9" i="111"/>
  <c r="CN23" i="111"/>
  <c r="BY8" i="111"/>
  <c r="BX22" i="111"/>
  <c r="BO12" i="111"/>
  <c r="BO18" i="111"/>
  <c r="BP4" i="111"/>
  <c r="BN28" i="111"/>
  <c r="BN34" i="111"/>
  <c r="BN51" i="111"/>
  <c r="BO36" i="111"/>
  <c r="BO52" i="111"/>
  <c r="BP37" i="111"/>
  <c r="BM43" i="111"/>
  <c r="BM49" i="111"/>
  <c r="BM57" i="111" s="1"/>
  <c r="CB7" i="111"/>
  <c r="CA21" i="111"/>
  <c r="CN24" i="111"/>
  <c r="CO10" i="111"/>
  <c r="BP39" i="111" l="1"/>
  <c r="BO54" i="111"/>
  <c r="BW6" i="111"/>
  <c r="BS55" i="111"/>
  <c r="BT40" i="111"/>
  <c r="BR53" i="111"/>
  <c r="BS38" i="111"/>
  <c r="BO51" i="111"/>
  <c r="BP36" i="111"/>
  <c r="BZ8" i="111"/>
  <c r="BY22" i="111"/>
  <c r="BN43" i="111"/>
  <c r="BN49" i="111"/>
  <c r="BN57" i="111" s="1"/>
  <c r="BP52" i="111"/>
  <c r="BQ37" i="111"/>
  <c r="BO28" i="111"/>
  <c r="BO34" i="111"/>
  <c r="CP9" i="111"/>
  <c r="CO23" i="111"/>
  <c r="CC7" i="111"/>
  <c r="CB21" i="111"/>
  <c r="BQ4" i="111"/>
  <c r="BP12" i="111"/>
  <c r="BP18" i="111"/>
  <c r="CP10" i="111"/>
  <c r="CO24" i="111"/>
  <c r="BP54" i="111" l="1"/>
  <c r="BQ39" i="111"/>
  <c r="BS53" i="111"/>
  <c r="BT38" i="111"/>
  <c r="BU40" i="111"/>
  <c r="BT55" i="111"/>
  <c r="BX6" i="111"/>
  <c r="CD7" i="111"/>
  <c r="CC21" i="111"/>
  <c r="BP28" i="111"/>
  <c r="BP34" i="111"/>
  <c r="CA8" i="111"/>
  <c r="BZ22" i="111"/>
  <c r="CQ9" i="111"/>
  <c r="CP23" i="111"/>
  <c r="BO43" i="111"/>
  <c r="BO49" i="111"/>
  <c r="BO57" i="111" s="1"/>
  <c r="CQ10" i="111"/>
  <c r="CP24" i="111"/>
  <c r="BQ12" i="111"/>
  <c r="BQ18" i="111"/>
  <c r="BR4" i="111"/>
  <c r="BP51" i="111"/>
  <c r="BQ36" i="111"/>
  <c r="BQ52" i="111"/>
  <c r="BR37" i="111"/>
  <c r="BR39" i="111" l="1"/>
  <c r="BQ54" i="111"/>
  <c r="BY6" i="111"/>
  <c r="BU55" i="111"/>
  <c r="BV40" i="111"/>
  <c r="BT53" i="111"/>
  <c r="BU38" i="111"/>
  <c r="BR52" i="111"/>
  <c r="BS37" i="111"/>
  <c r="BP43" i="111"/>
  <c r="BP49" i="111"/>
  <c r="BP57" i="111" s="1"/>
  <c r="CP28" i="111"/>
  <c r="CR10" i="111"/>
  <c r="CQ24" i="111"/>
  <c r="CB8" i="111"/>
  <c r="CA22" i="111"/>
  <c r="BQ51" i="111"/>
  <c r="BR36" i="111"/>
  <c r="CQ23" i="111"/>
  <c r="CR9" i="111"/>
  <c r="BS4" i="111"/>
  <c r="BR18" i="111"/>
  <c r="BR12" i="111"/>
  <c r="CE7" i="111"/>
  <c r="CD21" i="111"/>
  <c r="BQ28" i="111"/>
  <c r="BQ34" i="111"/>
  <c r="BS39" i="111" l="1"/>
  <c r="BR54" i="111"/>
  <c r="BU53" i="111"/>
  <c r="BV38" i="111"/>
  <c r="BZ6" i="111"/>
  <c r="BV55" i="111"/>
  <c r="BW40" i="111"/>
  <c r="CS10" i="111"/>
  <c r="CR24" i="111"/>
  <c r="CF7" i="111"/>
  <c r="CE21" i="111"/>
  <c r="BR51" i="111"/>
  <c r="BS36" i="111"/>
  <c r="CS9" i="111"/>
  <c r="CR23" i="111"/>
  <c r="CQ28" i="111"/>
  <c r="BS52" i="111"/>
  <c r="BT37" i="111"/>
  <c r="BR34" i="111"/>
  <c r="BR28" i="111"/>
  <c r="BQ43" i="111"/>
  <c r="BQ49" i="111"/>
  <c r="BQ57" i="111" s="1"/>
  <c r="BT4" i="111"/>
  <c r="BS12" i="111"/>
  <c r="BS18" i="111"/>
  <c r="CC8" i="111"/>
  <c r="CB22" i="111"/>
  <c r="BS54" i="111" l="1"/>
  <c r="BT39" i="111"/>
  <c r="CA6" i="111"/>
  <c r="BV53" i="111"/>
  <c r="BW38" i="111"/>
  <c r="BW55" i="111"/>
  <c r="BX40" i="111"/>
  <c r="BU4" i="111"/>
  <c r="BT12" i="111"/>
  <c r="BT18" i="111"/>
  <c r="CD8" i="111"/>
  <c r="CC22" i="111"/>
  <c r="BS34" i="111"/>
  <c r="BS28" i="111"/>
  <c r="CG7" i="111"/>
  <c r="CF21" i="111"/>
  <c r="BR43" i="111"/>
  <c r="BR49" i="111"/>
  <c r="BR57" i="111" s="1"/>
  <c r="CR28" i="111"/>
  <c r="BT52" i="111"/>
  <c r="BU37" i="111"/>
  <c r="CT9" i="111"/>
  <c r="CS23" i="111"/>
  <c r="BS51" i="111"/>
  <c r="BT36" i="111"/>
  <c r="CT10" i="111"/>
  <c r="CS24" i="111"/>
  <c r="BU39" i="111" l="1"/>
  <c r="BT54" i="111"/>
  <c r="BW53" i="111"/>
  <c r="BX38" i="111"/>
  <c r="CB6" i="111"/>
  <c r="BY40" i="111"/>
  <c r="BX55" i="111"/>
  <c r="BU52" i="111"/>
  <c r="BV37" i="111"/>
  <c r="BS43" i="111"/>
  <c r="BS49" i="111"/>
  <c r="BS57" i="111" s="1"/>
  <c r="BT34" i="111"/>
  <c r="BT28" i="111"/>
  <c r="CU10" i="111"/>
  <c r="CT24" i="111"/>
  <c r="BT51" i="111"/>
  <c r="BU36" i="111"/>
  <c r="CH7" i="111"/>
  <c r="CG21" i="111"/>
  <c r="CS28" i="111"/>
  <c r="BV4" i="111"/>
  <c r="BU12" i="111"/>
  <c r="BU18" i="111"/>
  <c r="CE8" i="111"/>
  <c r="CD22" i="111"/>
  <c r="CU9" i="111"/>
  <c r="CT23" i="111"/>
  <c r="BU54" i="111" l="1"/>
  <c r="BV39" i="111"/>
  <c r="CB28" i="111"/>
  <c r="CC6" i="111"/>
  <c r="BX53" i="111"/>
  <c r="BY38" i="111"/>
  <c r="BY55" i="111"/>
  <c r="BZ40" i="111"/>
  <c r="CF8" i="111"/>
  <c r="CE22" i="111"/>
  <c r="CV10" i="111"/>
  <c r="CU24" i="111"/>
  <c r="CI7" i="111"/>
  <c r="CH21" i="111"/>
  <c r="CV9" i="111"/>
  <c r="CU23" i="111"/>
  <c r="BU51" i="111"/>
  <c r="BV36" i="111"/>
  <c r="BV52" i="111"/>
  <c r="BW37" i="111"/>
  <c r="CT28" i="111"/>
  <c r="BU28" i="111"/>
  <c r="BU34" i="111"/>
  <c r="BW4" i="111"/>
  <c r="BV18" i="111"/>
  <c r="BV12" i="111"/>
  <c r="BT43" i="111"/>
  <c r="BT49" i="111"/>
  <c r="BT57" i="111" s="1"/>
  <c r="BW39" i="111" l="1"/>
  <c r="BV54" i="111"/>
  <c r="BZ55" i="111"/>
  <c r="CA40" i="111"/>
  <c r="BY53" i="111"/>
  <c r="BZ38" i="111"/>
  <c r="CD6" i="111"/>
  <c r="CC28" i="111"/>
  <c r="CU28" i="111"/>
  <c r="CW9" i="111"/>
  <c r="CV23" i="111"/>
  <c r="CG8" i="111"/>
  <c r="CF22" i="111"/>
  <c r="CJ7" i="111"/>
  <c r="CI21" i="111"/>
  <c r="BV28" i="111"/>
  <c r="BV34" i="111"/>
  <c r="BW52" i="111"/>
  <c r="BX37" i="111"/>
  <c r="BX4" i="111"/>
  <c r="BW18" i="111"/>
  <c r="BW12" i="111"/>
  <c r="CV24" i="111"/>
  <c r="CW10" i="111"/>
  <c r="BU43" i="111"/>
  <c r="BU49" i="111"/>
  <c r="BU57" i="111" s="1"/>
  <c r="BV51" i="111"/>
  <c r="BW36" i="111"/>
  <c r="BX39" i="111" l="1"/>
  <c r="BW54" i="111"/>
  <c r="CE6" i="111"/>
  <c r="CD28" i="111"/>
  <c r="BZ53" i="111"/>
  <c r="CA38" i="111"/>
  <c r="CA55" i="111"/>
  <c r="CB40" i="111"/>
  <c r="CH8" i="111"/>
  <c r="CG22" i="111"/>
  <c r="CW23" i="111"/>
  <c r="CX9" i="111"/>
  <c r="CK7" i="111"/>
  <c r="CJ21" i="111"/>
  <c r="BY4" i="111"/>
  <c r="BX12" i="111"/>
  <c r="BX18" i="111"/>
  <c r="BW51" i="111"/>
  <c r="BX36" i="111"/>
  <c r="BX52" i="111"/>
  <c r="BY37" i="111"/>
  <c r="BV43" i="111"/>
  <c r="BV49" i="111"/>
  <c r="BV57" i="111" s="1"/>
  <c r="BW28" i="111"/>
  <c r="BW34" i="111"/>
  <c r="CX10" i="111"/>
  <c r="CW24" i="111"/>
  <c r="CV28" i="111"/>
  <c r="BX54" i="111" l="1"/>
  <c r="BY39" i="111"/>
  <c r="CB55" i="111"/>
  <c r="CC40" i="111"/>
  <c r="CA53" i="111"/>
  <c r="CB38" i="111"/>
  <c r="CF6" i="111"/>
  <c r="CE28" i="111"/>
  <c r="BX34" i="111"/>
  <c r="BX28" i="111"/>
  <c r="CI8" i="111"/>
  <c r="CH22" i="111"/>
  <c r="CW28" i="111"/>
  <c r="BW43" i="111"/>
  <c r="BW49" i="111"/>
  <c r="BW57" i="111" s="1"/>
  <c r="BX51" i="111"/>
  <c r="BY36" i="111"/>
  <c r="CL7" i="111"/>
  <c r="CK21" i="111"/>
  <c r="CY10" i="111"/>
  <c r="CX24" i="111"/>
  <c r="BZ4" i="111"/>
  <c r="BY12" i="111"/>
  <c r="BY18" i="111"/>
  <c r="BY52" i="111"/>
  <c r="BZ37" i="111"/>
  <c r="CY9" i="111"/>
  <c r="CX23" i="111"/>
  <c r="BY54" i="111" l="1"/>
  <c r="BZ39" i="111"/>
  <c r="CB53" i="111"/>
  <c r="CC38" i="111"/>
  <c r="CG6" i="111"/>
  <c r="CF28" i="111"/>
  <c r="CC55" i="111"/>
  <c r="CD40" i="111"/>
  <c r="CM7" i="111"/>
  <c r="CL21" i="111"/>
  <c r="BY51" i="111"/>
  <c r="BZ36" i="111"/>
  <c r="CA4" i="111"/>
  <c r="BZ18" i="111"/>
  <c r="BZ12" i="111"/>
  <c r="BY28" i="111"/>
  <c r="BY34" i="111"/>
  <c r="CX28" i="111"/>
  <c r="CZ10" i="111"/>
  <c r="CY24" i="111"/>
  <c r="CJ8" i="111"/>
  <c r="CI22" i="111"/>
  <c r="CY23" i="111"/>
  <c r="CZ9" i="111"/>
  <c r="BZ52" i="111"/>
  <c r="CA37" i="111"/>
  <c r="BX43" i="111"/>
  <c r="BX49" i="111"/>
  <c r="BX57" i="111" s="1"/>
  <c r="CA39" i="111" l="1"/>
  <c r="BZ54" i="111"/>
  <c r="CD55" i="111"/>
  <c r="CE40" i="111"/>
  <c r="CH6" i="111"/>
  <c r="CG28" i="111"/>
  <c r="CC53" i="111"/>
  <c r="CD38" i="111"/>
  <c r="CB4" i="111"/>
  <c r="CA12" i="111"/>
  <c r="CA18" i="111"/>
  <c r="BZ28" i="111"/>
  <c r="BZ34" i="111"/>
  <c r="BZ51" i="111"/>
  <c r="CA36" i="111"/>
  <c r="CY28" i="111"/>
  <c r="CK8" i="111"/>
  <c r="CJ22" i="111"/>
  <c r="DA9" i="111"/>
  <c r="CZ23" i="111"/>
  <c r="BY43" i="111"/>
  <c r="BY49" i="111"/>
  <c r="BY57" i="111" s="1"/>
  <c r="CA52" i="111"/>
  <c r="CB37" i="111"/>
  <c r="DA10" i="111"/>
  <c r="CZ24" i="111"/>
  <c r="CN7" i="111"/>
  <c r="CM21" i="111"/>
  <c r="CB39" i="111" l="1"/>
  <c r="CA54" i="111"/>
  <c r="CD53" i="111"/>
  <c r="CE38" i="111"/>
  <c r="CI6" i="111"/>
  <c r="CH28" i="111"/>
  <c r="CE55" i="111"/>
  <c r="CF40" i="111"/>
  <c r="BZ43" i="111"/>
  <c r="BZ49" i="111"/>
  <c r="BZ57" i="111" s="1"/>
  <c r="CO7" i="111"/>
  <c r="CN21" i="111"/>
  <c r="CC4" i="111"/>
  <c r="CB12" i="111"/>
  <c r="CB52" i="111"/>
  <c r="CC37" i="111"/>
  <c r="CA51" i="111"/>
  <c r="CB36" i="111"/>
  <c r="DB9" i="111"/>
  <c r="DA23" i="111"/>
  <c r="CL8" i="111"/>
  <c r="CK22" i="111"/>
  <c r="CA34" i="111"/>
  <c r="CA28" i="111"/>
  <c r="CZ28" i="111"/>
  <c r="DB10" i="111"/>
  <c r="DA24" i="111"/>
  <c r="CC39" i="111" l="1"/>
  <c r="CB54" i="111"/>
  <c r="CJ6" i="111"/>
  <c r="CI28" i="111"/>
  <c r="CE53" i="111"/>
  <c r="CF38" i="111"/>
  <c r="CF55" i="111"/>
  <c r="CG40" i="111"/>
  <c r="CB51" i="111"/>
  <c r="CC36" i="111"/>
  <c r="CD4" i="111"/>
  <c r="CC12" i="111"/>
  <c r="CC52" i="111"/>
  <c r="CD37" i="111"/>
  <c r="DC9" i="111"/>
  <c r="DB23" i="111"/>
  <c r="CM8" i="111"/>
  <c r="CL22" i="111"/>
  <c r="CP7" i="111"/>
  <c r="CB34" i="111"/>
  <c r="CA43" i="111"/>
  <c r="CA49" i="111"/>
  <c r="CA57" i="111" s="1"/>
  <c r="DC10" i="111"/>
  <c r="DB24" i="111"/>
  <c r="DA28" i="111"/>
  <c r="CC54" i="111" l="1"/>
  <c r="CD39" i="111"/>
  <c r="CH40" i="111"/>
  <c r="CG55" i="111"/>
  <c r="CF53" i="111"/>
  <c r="CG38" i="111"/>
  <c r="CK6" i="111"/>
  <c r="CJ28" i="111"/>
  <c r="DB28" i="111"/>
  <c r="DC24" i="111"/>
  <c r="DD10" i="111"/>
  <c r="CQ7" i="111"/>
  <c r="DD9" i="111"/>
  <c r="DC23" i="111"/>
  <c r="CC34" i="111"/>
  <c r="CB43" i="111"/>
  <c r="CB49" i="111"/>
  <c r="CB57" i="111" s="1"/>
  <c r="CD52" i="111"/>
  <c r="CE37" i="111"/>
  <c r="CE4" i="111"/>
  <c r="CD12" i="111"/>
  <c r="CC51" i="111"/>
  <c r="CD36" i="111"/>
  <c r="CM22" i="111"/>
  <c r="CN8" i="111"/>
  <c r="CD54" i="111" l="1"/>
  <c r="CE39" i="111"/>
  <c r="CG53" i="111"/>
  <c r="CH38" i="111"/>
  <c r="CK28" i="111"/>
  <c r="CL6" i="111"/>
  <c r="CH55" i="111"/>
  <c r="CI40" i="111"/>
  <c r="CF4" i="111"/>
  <c r="CE12" i="111"/>
  <c r="CR7" i="111"/>
  <c r="CE52" i="111"/>
  <c r="CF37" i="111"/>
  <c r="DE9" i="111"/>
  <c r="DD23" i="111"/>
  <c r="DD24" i="111"/>
  <c r="DE10" i="111"/>
  <c r="CN22" i="111"/>
  <c r="CO8" i="111"/>
  <c r="DC28" i="111"/>
  <c r="CD51" i="111"/>
  <c r="CE36" i="111"/>
  <c r="CC43" i="111"/>
  <c r="CD34" i="111"/>
  <c r="CC49" i="111"/>
  <c r="CC57" i="111" s="1"/>
  <c r="CE54" i="111" l="1"/>
  <c r="CF39" i="111"/>
  <c r="CM6" i="111"/>
  <c r="CL28" i="111"/>
  <c r="CI55" i="111"/>
  <c r="CJ40" i="111"/>
  <c r="CH53" i="111"/>
  <c r="CI38" i="111"/>
  <c r="CS7" i="111"/>
  <c r="DF10" i="111"/>
  <c r="DE24" i="111"/>
  <c r="DD28" i="111"/>
  <c r="CE51" i="111"/>
  <c r="CF36" i="111"/>
  <c r="CE34" i="111"/>
  <c r="CD43" i="111"/>
  <c r="CD49" i="111"/>
  <c r="CD57" i="111" s="1"/>
  <c r="CP8" i="111"/>
  <c r="CO22" i="111"/>
  <c r="CG4" i="111"/>
  <c r="CF12" i="111"/>
  <c r="CN28" i="111"/>
  <c r="DF9" i="111"/>
  <c r="DE23" i="111"/>
  <c r="CF52" i="111"/>
  <c r="CG37" i="111"/>
  <c r="CG39" i="111" l="1"/>
  <c r="CF54" i="111"/>
  <c r="CK40" i="111"/>
  <c r="CJ55" i="111"/>
  <c r="CI53" i="111"/>
  <c r="CJ38" i="111"/>
  <c r="CN6" i="111"/>
  <c r="CO6" i="111" s="1"/>
  <c r="CP6" i="111" s="1"/>
  <c r="CQ6" i="111" s="1"/>
  <c r="CR6" i="111" s="1"/>
  <c r="CS6" i="111" s="1"/>
  <c r="CT6" i="111" s="1"/>
  <c r="CM28" i="111"/>
  <c r="CG52" i="111"/>
  <c r="CH37" i="111"/>
  <c r="DE28" i="111"/>
  <c r="CF51" i="111"/>
  <c r="CG36" i="111"/>
  <c r="DG10" i="111"/>
  <c r="CG12" i="111"/>
  <c r="CH4" i="111"/>
  <c r="CO28" i="111"/>
  <c r="DG9" i="111"/>
  <c r="CQ8" i="111"/>
  <c r="CF34" i="111"/>
  <c r="CE43" i="111"/>
  <c r="CE49" i="111"/>
  <c r="CE57" i="111" s="1"/>
  <c r="CT7" i="111"/>
  <c r="CG54" i="111" l="1"/>
  <c r="CH39" i="111"/>
  <c r="CJ53" i="111"/>
  <c r="CK38" i="111"/>
  <c r="CK55" i="111"/>
  <c r="CL40" i="111"/>
  <c r="DH9" i="111"/>
  <c r="CG34" i="111"/>
  <c r="CF43" i="111"/>
  <c r="CF49" i="111"/>
  <c r="CF57" i="111" s="1"/>
  <c r="CU6" i="111"/>
  <c r="CU7" i="111"/>
  <c r="CI4" i="111"/>
  <c r="CH12" i="111"/>
  <c r="CR8" i="111"/>
  <c r="CH52" i="111"/>
  <c r="CI37" i="111"/>
  <c r="CG51" i="111"/>
  <c r="CH36" i="111"/>
  <c r="DH10" i="111"/>
  <c r="CI39" i="111" l="1"/>
  <c r="CH54" i="111"/>
  <c r="CM40" i="111"/>
  <c r="CL55" i="111"/>
  <c r="CK53" i="111"/>
  <c r="CL38" i="111"/>
  <c r="CI52" i="111"/>
  <c r="CJ37" i="111"/>
  <c r="CG43" i="111"/>
  <c r="CH34" i="111"/>
  <c r="CG49" i="111"/>
  <c r="CG57" i="111" s="1"/>
  <c r="CS8" i="111"/>
  <c r="DI9" i="111"/>
  <c r="CJ4" i="111"/>
  <c r="CI12" i="111"/>
  <c r="CV7" i="111"/>
  <c r="CV6" i="111"/>
  <c r="CH51" i="111"/>
  <c r="CI36" i="111"/>
  <c r="DI10" i="111"/>
  <c r="CI54" i="111" l="1"/>
  <c r="CJ39" i="111"/>
  <c r="CL53" i="111"/>
  <c r="CM38" i="111"/>
  <c r="CM55" i="111"/>
  <c r="CN40" i="111"/>
  <c r="CI51" i="111"/>
  <c r="CJ36" i="111"/>
  <c r="CW7" i="111"/>
  <c r="CT8" i="111"/>
  <c r="DJ9" i="111"/>
  <c r="CJ52" i="111"/>
  <c r="CK37" i="111"/>
  <c r="CI34" i="111"/>
  <c r="CH43" i="111"/>
  <c r="CH49" i="111"/>
  <c r="CH57" i="111" s="1"/>
  <c r="CW6" i="111"/>
  <c r="CK4" i="111"/>
  <c r="CJ12" i="111"/>
  <c r="DJ10" i="111"/>
  <c r="CK39" i="111" l="1"/>
  <c r="CJ54" i="111"/>
  <c r="CO40" i="111"/>
  <c r="CN55" i="111"/>
  <c r="CM53" i="111"/>
  <c r="CN38" i="111"/>
  <c r="CL4" i="111"/>
  <c r="CK12" i="111"/>
  <c r="CU8" i="111"/>
  <c r="DK9" i="111"/>
  <c r="CX7" i="111"/>
  <c r="CJ34" i="111"/>
  <c r="CI43" i="111"/>
  <c r="CI49" i="111"/>
  <c r="CI57" i="111" s="1"/>
  <c r="CJ51" i="111"/>
  <c r="CK36" i="111"/>
  <c r="CK52" i="111"/>
  <c r="CL37" i="111"/>
  <c r="CX6" i="111"/>
  <c r="DK10" i="111"/>
  <c r="CK54" i="111" l="1"/>
  <c r="CL39" i="111"/>
  <c r="CN53" i="111"/>
  <c r="CO38" i="111"/>
  <c r="CO55" i="111"/>
  <c r="CP40" i="111"/>
  <c r="CL52" i="111"/>
  <c r="CM37" i="111"/>
  <c r="CY6" i="111"/>
  <c r="DL9" i="111"/>
  <c r="CK34" i="111"/>
  <c r="CJ43" i="111"/>
  <c r="CJ49" i="111"/>
  <c r="CJ57" i="111" s="1"/>
  <c r="CV8" i="111"/>
  <c r="CK51" i="111"/>
  <c r="CL36" i="111"/>
  <c r="CY7" i="111"/>
  <c r="DL10" i="111"/>
  <c r="CM4" i="111"/>
  <c r="CL12" i="111"/>
  <c r="CL54" i="111" l="1"/>
  <c r="CM39" i="111"/>
  <c r="CP55" i="111"/>
  <c r="CQ40" i="111"/>
  <c r="CO53" i="111"/>
  <c r="CP38" i="111"/>
  <c r="CM52" i="111"/>
  <c r="CN37" i="111"/>
  <c r="DM9" i="111"/>
  <c r="CW8" i="111"/>
  <c r="CN4" i="111"/>
  <c r="CM12" i="111"/>
  <c r="CZ6" i="111"/>
  <c r="DM10" i="111"/>
  <c r="CZ7" i="111"/>
  <c r="CL51" i="111"/>
  <c r="CM36" i="111"/>
  <c r="CL34" i="111"/>
  <c r="CK43" i="111"/>
  <c r="CK49" i="111"/>
  <c r="CK57" i="111" s="1"/>
  <c r="CM54" i="111" l="1"/>
  <c r="CN39" i="111"/>
  <c r="CQ38" i="111"/>
  <c r="CP53" i="111"/>
  <c r="CR40" i="111"/>
  <c r="CQ55" i="111"/>
  <c r="CM34" i="111"/>
  <c r="CL43" i="111"/>
  <c r="CL49" i="111"/>
  <c r="CL57" i="111" s="1"/>
  <c r="DN9" i="111"/>
  <c r="DA6" i="111"/>
  <c r="CN36" i="111"/>
  <c r="CM51" i="111"/>
  <c r="DA7" i="111"/>
  <c r="CO37" i="111"/>
  <c r="CN52" i="111"/>
  <c r="DN10" i="111"/>
  <c r="CX8" i="111"/>
  <c r="CO4" i="111"/>
  <c r="CN12" i="111"/>
  <c r="CO39" i="111" l="1"/>
  <c r="CN54" i="111"/>
  <c r="CS40" i="111"/>
  <c r="CR55" i="111"/>
  <c r="CR38" i="111"/>
  <c r="CQ53" i="111"/>
  <c r="CP37" i="111"/>
  <c r="CO52" i="111"/>
  <c r="DB7" i="111"/>
  <c r="CO12" i="111"/>
  <c r="CP4" i="111"/>
  <c r="CN34" i="111"/>
  <c r="CM43" i="111"/>
  <c r="CM49" i="111"/>
  <c r="CM57" i="111" s="1"/>
  <c r="CY8" i="111"/>
  <c r="DO10" i="111"/>
  <c r="DO9" i="111"/>
  <c r="CO36" i="111"/>
  <c r="CN51" i="111"/>
  <c r="DB6" i="111"/>
  <c r="CP39" i="111" l="1"/>
  <c r="CO54" i="111"/>
  <c r="CS38" i="111"/>
  <c r="CR53" i="111"/>
  <c r="CS55" i="111"/>
  <c r="CT40" i="111"/>
  <c r="CP36" i="111"/>
  <c r="CO51" i="111"/>
  <c r="DP9" i="111"/>
  <c r="DC7" i="111"/>
  <c r="CQ4" i="111"/>
  <c r="CP12" i="111"/>
  <c r="CZ8" i="111"/>
  <c r="CO34" i="111"/>
  <c r="CN43" i="111"/>
  <c r="CN49" i="111"/>
  <c r="CN57" i="111" s="1"/>
  <c r="CQ37" i="111"/>
  <c r="CP52" i="111"/>
  <c r="DC6" i="111"/>
  <c r="DP10" i="111"/>
  <c r="CQ39" i="111" l="1"/>
  <c r="CP54" i="111"/>
  <c r="CU40" i="111"/>
  <c r="CT55" i="111"/>
  <c r="CS53" i="111"/>
  <c r="CT38" i="111"/>
  <c r="CR4" i="111"/>
  <c r="CQ12" i="111"/>
  <c r="DQ10" i="111"/>
  <c r="CP34" i="111"/>
  <c r="CO43" i="111"/>
  <c r="CO49" i="111"/>
  <c r="CO57" i="111" s="1"/>
  <c r="DD7" i="111"/>
  <c r="CR37" i="111"/>
  <c r="CQ52" i="111"/>
  <c r="DQ9" i="111"/>
  <c r="DD6" i="111"/>
  <c r="DA8" i="111"/>
  <c r="CQ36" i="111"/>
  <c r="CP51" i="111"/>
  <c r="CQ54" i="111" l="1"/>
  <c r="CR39" i="111"/>
  <c r="CU38" i="111"/>
  <c r="CT53" i="111"/>
  <c r="CU55" i="111"/>
  <c r="CV40" i="111"/>
  <c r="DB8" i="111"/>
  <c r="CQ34" i="111"/>
  <c r="CP43" i="111"/>
  <c r="CP49" i="111"/>
  <c r="CP57" i="111" s="1"/>
  <c r="DR9" i="111"/>
  <c r="DR10" i="111"/>
  <c r="CS37" i="111"/>
  <c r="CR52" i="111"/>
  <c r="CR36" i="111"/>
  <c r="CQ51" i="111"/>
  <c r="DE6" i="111"/>
  <c r="DE7" i="111"/>
  <c r="CS4" i="111"/>
  <c r="CR12" i="111"/>
  <c r="CR54" i="111" l="1"/>
  <c r="CS39" i="111"/>
  <c r="CW40" i="111"/>
  <c r="CV55" i="111"/>
  <c r="CV38" i="111"/>
  <c r="CU53" i="111"/>
  <c r="CR34" i="111"/>
  <c r="CQ43" i="111"/>
  <c r="CQ49" i="111"/>
  <c r="CQ57" i="111" s="1"/>
  <c r="CT37" i="111"/>
  <c r="CS52" i="111"/>
  <c r="DF6" i="111"/>
  <c r="DF7" i="111"/>
  <c r="CS36" i="111"/>
  <c r="CR51" i="111"/>
  <c r="CS12" i="111"/>
  <c r="CT4" i="111"/>
  <c r="DS10" i="111"/>
  <c r="DS9" i="111"/>
  <c r="DC8" i="111"/>
  <c r="CS54" i="111" l="1"/>
  <c r="CT39" i="111"/>
  <c r="CV53" i="111"/>
  <c r="CW38" i="111"/>
  <c r="CW55" i="111"/>
  <c r="CX40" i="111"/>
  <c r="DG6" i="111"/>
  <c r="CU37" i="111"/>
  <c r="CT52" i="111"/>
  <c r="DT9" i="111"/>
  <c r="CT36" i="111"/>
  <c r="CS51" i="111"/>
  <c r="DG7" i="111"/>
  <c r="DT10" i="111"/>
  <c r="DD8" i="111"/>
  <c r="CU4" i="111"/>
  <c r="CT12" i="111"/>
  <c r="CS34" i="111"/>
  <c r="CR43" i="111"/>
  <c r="CR49" i="111"/>
  <c r="CR57" i="111" s="1"/>
  <c r="CU39" i="111" l="1"/>
  <c r="CT54" i="111"/>
  <c r="CX55" i="111"/>
  <c r="CY40" i="111"/>
  <c r="CX38" i="111"/>
  <c r="CW53" i="111"/>
  <c r="CS43" i="111"/>
  <c r="CT34" i="111"/>
  <c r="CS49" i="111"/>
  <c r="CS57" i="111" s="1"/>
  <c r="CU36" i="111"/>
  <c r="CT51" i="111"/>
  <c r="DH6" i="111"/>
  <c r="DU10" i="111"/>
  <c r="DH7" i="111"/>
  <c r="CV37" i="111"/>
  <c r="CU52" i="111"/>
  <c r="CV4" i="111"/>
  <c r="CU12" i="111"/>
  <c r="DE8" i="111"/>
  <c r="DU9" i="111"/>
  <c r="CU54" i="111" l="1"/>
  <c r="CV39" i="111"/>
  <c r="CX53" i="111"/>
  <c r="CY38" i="111"/>
  <c r="CZ40" i="111"/>
  <c r="CY55" i="111"/>
  <c r="DV9" i="111"/>
  <c r="DF8" i="111"/>
  <c r="DI7" i="111"/>
  <c r="DV10" i="111"/>
  <c r="CT43" i="111"/>
  <c r="CU34" i="111"/>
  <c r="CT49" i="111"/>
  <c r="CT57" i="111" s="1"/>
  <c r="CW37" i="111"/>
  <c r="CV52" i="111"/>
  <c r="DI6" i="111"/>
  <c r="CV36" i="111"/>
  <c r="CU51" i="111"/>
  <c r="CW4" i="111"/>
  <c r="CV12" i="111"/>
  <c r="CV54" i="111" l="1"/>
  <c r="CW39" i="111"/>
  <c r="CZ55" i="111"/>
  <c r="DA40" i="111"/>
  <c r="CY53" i="111"/>
  <c r="CZ38" i="111"/>
  <c r="DG8" i="111"/>
  <c r="DJ6" i="111"/>
  <c r="CX4" i="111"/>
  <c r="CW12" i="111"/>
  <c r="DJ7" i="111"/>
  <c r="CX37" i="111"/>
  <c r="CW52" i="111"/>
  <c r="CV34" i="111"/>
  <c r="CU43" i="111"/>
  <c r="CU49" i="111"/>
  <c r="CU57" i="111" s="1"/>
  <c r="CW36" i="111"/>
  <c r="CV51" i="111"/>
  <c r="DW10" i="111"/>
  <c r="DW9" i="111"/>
  <c r="CX39" i="111" l="1"/>
  <c r="CW54" i="111"/>
  <c r="CZ53" i="111"/>
  <c r="DA38" i="111"/>
  <c r="DB40" i="111"/>
  <c r="DA55" i="111"/>
  <c r="CY37" i="111"/>
  <c r="CX52" i="111"/>
  <c r="DX10" i="111"/>
  <c r="CX36" i="111"/>
  <c r="CW51" i="111"/>
  <c r="DK6" i="111"/>
  <c r="DH8" i="111"/>
  <c r="CY4" i="111"/>
  <c r="CX12" i="111"/>
  <c r="DK7" i="111"/>
  <c r="CW34" i="111"/>
  <c r="CV43" i="111"/>
  <c r="CV49" i="111"/>
  <c r="CV57" i="111" s="1"/>
  <c r="DX9" i="111"/>
  <c r="CX54" i="111" l="1"/>
  <c r="CY39" i="111"/>
  <c r="DB38" i="111"/>
  <c r="DA53" i="111"/>
  <c r="DC40" i="111"/>
  <c r="DB55" i="111"/>
  <c r="CX34" i="111"/>
  <c r="CW43" i="111"/>
  <c r="CW49" i="111"/>
  <c r="CW57" i="111" s="1"/>
  <c r="DY10" i="111"/>
  <c r="DY9" i="111"/>
  <c r="DL6" i="111"/>
  <c r="DL7" i="111"/>
  <c r="CY36" i="111"/>
  <c r="CX51" i="111"/>
  <c r="CZ4" i="111"/>
  <c r="CY12" i="111"/>
  <c r="DI8" i="111"/>
  <c r="CZ37" i="111"/>
  <c r="CY52" i="111"/>
  <c r="I3" i="58"/>
  <c r="CY54" i="111" l="1"/>
  <c r="CZ39" i="111"/>
  <c r="DC55" i="111"/>
  <c r="DD40" i="111"/>
  <c r="DC38" i="111"/>
  <c r="DB53" i="111"/>
  <c r="DZ10" i="111"/>
  <c r="DA4" i="111"/>
  <c r="CZ12" i="111"/>
  <c r="DM6" i="111"/>
  <c r="DJ8" i="111"/>
  <c r="DZ9" i="111"/>
  <c r="CZ36" i="111"/>
  <c r="CY51" i="111"/>
  <c r="DM7" i="111"/>
  <c r="DA37" i="111"/>
  <c r="CZ52" i="111"/>
  <c r="CY34" i="111"/>
  <c r="CX43" i="111"/>
  <c r="CX49" i="111"/>
  <c r="CX57" i="111" s="1"/>
  <c r="B3" i="58"/>
  <c r="CZ54" i="111" l="1"/>
  <c r="DA39" i="111"/>
  <c r="DC53" i="111"/>
  <c r="DD38" i="111"/>
  <c r="DD55" i="111"/>
  <c r="DE40" i="111"/>
  <c r="DB37" i="111"/>
  <c r="DA52" i="111"/>
  <c r="DK8" i="111"/>
  <c r="EA10" i="111"/>
  <c r="CZ34" i="111"/>
  <c r="CY43" i="111"/>
  <c r="CY49" i="111"/>
  <c r="CY57" i="111" s="1"/>
  <c r="EA9" i="111"/>
  <c r="DB4" i="111"/>
  <c r="DA12" i="111"/>
  <c r="DA36" i="111"/>
  <c r="CZ51" i="111"/>
  <c r="DN7" i="111"/>
  <c r="DN6" i="111"/>
  <c r="DA54" i="111" l="1"/>
  <c r="DB39" i="111"/>
  <c r="DF40" i="111"/>
  <c r="DE55" i="111"/>
  <c r="DD53" i="111"/>
  <c r="DE38" i="111"/>
  <c r="EB10" i="111"/>
  <c r="DL8" i="111"/>
  <c r="DB36" i="111"/>
  <c r="DA51" i="111"/>
  <c r="DC37" i="111"/>
  <c r="DB52" i="111"/>
  <c r="DO7" i="111"/>
  <c r="DC4" i="111"/>
  <c r="DB12" i="111"/>
  <c r="EB9" i="111"/>
  <c r="DO6" i="111"/>
  <c r="DA34" i="111"/>
  <c r="CZ43" i="111"/>
  <c r="CZ49" i="111"/>
  <c r="CZ57" i="111" s="1"/>
  <c r="DB54" i="111" l="1"/>
  <c r="DC39" i="111"/>
  <c r="DF38" i="111"/>
  <c r="DE53" i="111"/>
  <c r="DF55" i="111"/>
  <c r="DG40" i="111"/>
  <c r="DD4" i="111"/>
  <c r="DC12" i="111"/>
  <c r="DM8" i="111"/>
  <c r="DB34" i="111"/>
  <c r="DA43" i="111"/>
  <c r="DA49" i="111"/>
  <c r="DA57" i="111" s="1"/>
  <c r="DP6" i="111"/>
  <c r="DD37" i="111"/>
  <c r="DC52" i="111"/>
  <c r="DC36" i="111"/>
  <c r="DB51" i="111"/>
  <c r="EC9" i="111"/>
  <c r="DP7" i="111"/>
  <c r="EC10" i="111"/>
  <c r="DC54" i="111" l="1"/>
  <c r="DD39" i="111"/>
  <c r="DG55" i="111"/>
  <c r="DH40" i="111"/>
  <c r="DG38" i="111"/>
  <c r="DF53" i="111"/>
  <c r="DE37" i="111"/>
  <c r="DD52" i="111"/>
  <c r="DN8" i="111"/>
  <c r="ED9" i="111"/>
  <c r="DE4" i="111"/>
  <c r="DD12" i="111"/>
  <c r="DQ7" i="111"/>
  <c r="DQ6" i="111"/>
  <c r="DB43" i="111"/>
  <c r="DC34" i="111"/>
  <c r="DB49" i="111"/>
  <c r="DB57" i="111" s="1"/>
  <c r="ED10" i="111"/>
  <c r="DD36" i="111"/>
  <c r="DC51" i="111"/>
  <c r="DD54" i="111" l="1"/>
  <c r="DE39" i="111"/>
  <c r="DI40" i="111"/>
  <c r="DH55" i="111"/>
  <c r="DH38" i="111"/>
  <c r="DG53" i="111"/>
  <c r="DR6" i="111"/>
  <c r="EE9" i="111"/>
  <c r="EE10" i="111"/>
  <c r="DC43" i="111"/>
  <c r="DD34" i="111"/>
  <c r="DC49" i="111"/>
  <c r="DC57" i="111" s="1"/>
  <c r="DO8" i="111"/>
  <c r="DE36" i="111"/>
  <c r="DD51" i="111"/>
  <c r="DR7" i="111"/>
  <c r="DE12" i="111"/>
  <c r="DF4" i="111"/>
  <c r="DF37" i="111"/>
  <c r="DE52" i="111"/>
  <c r="DF39" i="111" l="1"/>
  <c r="DE54" i="111"/>
  <c r="DI38" i="111"/>
  <c r="DH53" i="111"/>
  <c r="DJ40" i="111"/>
  <c r="DI55" i="111"/>
  <c r="DG4" i="111"/>
  <c r="DF12" i="111"/>
  <c r="DP8" i="111"/>
  <c r="DD43" i="111"/>
  <c r="DE34" i="111"/>
  <c r="DD49" i="111"/>
  <c r="DD57" i="111" s="1"/>
  <c r="DF36" i="111"/>
  <c r="DE51" i="111"/>
  <c r="EF10" i="111"/>
  <c r="EF9" i="111"/>
  <c r="DS7" i="111"/>
  <c r="DG37" i="111"/>
  <c r="DF52" i="111"/>
  <c r="DS6" i="111"/>
  <c r="DF54" i="111" l="1"/>
  <c r="DG39" i="111"/>
  <c r="DK40" i="111"/>
  <c r="DJ55" i="111"/>
  <c r="DI53" i="111"/>
  <c r="DJ38" i="111"/>
  <c r="DF34" i="111"/>
  <c r="DE43" i="111"/>
  <c r="DE49" i="111"/>
  <c r="DE57" i="111" s="1"/>
  <c r="DQ8" i="111"/>
  <c r="EG10" i="111"/>
  <c r="EG9" i="111"/>
  <c r="DG36" i="111"/>
  <c r="DF51" i="111"/>
  <c r="DT7" i="111"/>
  <c r="DH37" i="111"/>
  <c r="DG52" i="111"/>
  <c r="DT6" i="111"/>
  <c r="DH4" i="111"/>
  <c r="DG12" i="111"/>
  <c r="DG54" i="111" l="1"/>
  <c r="DH39" i="111"/>
  <c r="DJ53" i="111"/>
  <c r="DK38" i="111"/>
  <c r="DK55" i="111"/>
  <c r="DL40" i="111"/>
  <c r="EH10" i="111"/>
  <c r="DI37" i="111"/>
  <c r="DH52" i="111"/>
  <c r="DR8" i="111"/>
  <c r="DH36" i="111"/>
  <c r="DG51" i="111"/>
  <c r="DG34" i="111"/>
  <c r="DF43" i="111"/>
  <c r="DF49" i="111"/>
  <c r="DF57" i="111" s="1"/>
  <c r="DU6" i="111"/>
  <c r="EH9" i="111"/>
  <c r="DI4" i="111"/>
  <c r="DH12" i="111"/>
  <c r="DU7" i="111"/>
  <c r="G3" i="58"/>
  <c r="DH54" i="111" l="1"/>
  <c r="DI39" i="111"/>
  <c r="DL55" i="111"/>
  <c r="DM40" i="111"/>
  <c r="DL38" i="111"/>
  <c r="DK53" i="111"/>
  <c r="DI12" i="111"/>
  <c r="DJ4" i="111"/>
  <c r="DI36" i="111"/>
  <c r="DH51" i="111"/>
  <c r="EI9" i="111"/>
  <c r="DS8" i="111"/>
  <c r="DH34" i="111"/>
  <c r="DG43" i="111"/>
  <c r="DG49" i="111"/>
  <c r="DG57" i="111" s="1"/>
  <c r="DV6" i="111"/>
  <c r="DV7" i="111"/>
  <c r="DJ37" i="111"/>
  <c r="DI52" i="111"/>
  <c r="EI10" i="111"/>
  <c r="H3" i="58"/>
  <c r="DJ39" i="111" l="1"/>
  <c r="DI54" i="111"/>
  <c r="DM38" i="111"/>
  <c r="DL53" i="111"/>
  <c r="DM55" i="111"/>
  <c r="DN40" i="111"/>
  <c r="EJ9" i="111"/>
  <c r="DK37" i="111"/>
  <c r="DJ52" i="111"/>
  <c r="DJ36" i="111"/>
  <c r="DI51" i="111"/>
  <c r="DT8" i="111"/>
  <c r="DW7" i="111"/>
  <c r="DK4" i="111"/>
  <c r="DJ12" i="111"/>
  <c r="DI34" i="111"/>
  <c r="DH43" i="111"/>
  <c r="DH49" i="111"/>
  <c r="DH57" i="111" s="1"/>
  <c r="EJ10" i="111"/>
  <c r="DW6" i="111"/>
  <c r="DK39" i="111" l="1"/>
  <c r="DJ54" i="111"/>
  <c r="DO40" i="111"/>
  <c r="DN55" i="111"/>
  <c r="DN38" i="111"/>
  <c r="DM53" i="111"/>
  <c r="EK10" i="111"/>
  <c r="DU8" i="111"/>
  <c r="DK36" i="111"/>
  <c r="DJ51" i="111"/>
  <c r="DL37" i="111"/>
  <c r="DK52" i="111"/>
  <c r="DI43" i="111"/>
  <c r="DJ34" i="111"/>
  <c r="DI49" i="111"/>
  <c r="DI57" i="111" s="1"/>
  <c r="DX7" i="111"/>
  <c r="DX6" i="111"/>
  <c r="DL4" i="111"/>
  <c r="DK12" i="111"/>
  <c r="EK9" i="111"/>
  <c r="DK54" i="111" l="1"/>
  <c r="DL39" i="111"/>
  <c r="DO38" i="111"/>
  <c r="DN53" i="111"/>
  <c r="DO55" i="111"/>
  <c r="DP40" i="111"/>
  <c r="DL36" i="111"/>
  <c r="DK51" i="111"/>
  <c r="DY7" i="111"/>
  <c r="DY6" i="111"/>
  <c r="DV8" i="111"/>
  <c r="DM4" i="111"/>
  <c r="DL12" i="111"/>
  <c r="DJ43" i="111"/>
  <c r="DK34" i="111"/>
  <c r="DJ49" i="111"/>
  <c r="DJ57" i="111" s="1"/>
  <c r="EL9" i="111"/>
  <c r="DM37" i="111"/>
  <c r="DL52" i="111"/>
  <c r="EL10" i="111"/>
  <c r="DM39" i="111" l="1"/>
  <c r="DL54" i="111"/>
  <c r="DQ40" i="111"/>
  <c r="DP55" i="111"/>
  <c r="DO53" i="111"/>
  <c r="DP38" i="111"/>
  <c r="DN37" i="111"/>
  <c r="DM52" i="111"/>
  <c r="DL34" i="111"/>
  <c r="DK43" i="111"/>
  <c r="DK49" i="111"/>
  <c r="DK57" i="111" s="1"/>
  <c r="EM9" i="111"/>
  <c r="DW8" i="111"/>
  <c r="DM12" i="111"/>
  <c r="DN4" i="111"/>
  <c r="DM36" i="111"/>
  <c r="DL51" i="111"/>
  <c r="DZ6" i="111"/>
  <c r="EM10" i="111"/>
  <c r="DZ7" i="111"/>
  <c r="DN39" i="111" l="1"/>
  <c r="DM54" i="111"/>
  <c r="DQ38" i="111"/>
  <c r="DP53" i="111"/>
  <c r="DR40" i="111"/>
  <c r="DQ55" i="111"/>
  <c r="EA7" i="111"/>
  <c r="DX8" i="111"/>
  <c r="DM34" i="111"/>
  <c r="DL43" i="111"/>
  <c r="DL49" i="111"/>
  <c r="DL57" i="111" s="1"/>
  <c r="EN10" i="111"/>
  <c r="EA6" i="111"/>
  <c r="EN9" i="111"/>
  <c r="DO4" i="111"/>
  <c r="DN12" i="111"/>
  <c r="DN36" i="111"/>
  <c r="DM51" i="111"/>
  <c r="DO37" i="111"/>
  <c r="DN52" i="111"/>
  <c r="DN54" i="111" l="1"/>
  <c r="DO39" i="111"/>
  <c r="DS40" i="111"/>
  <c r="DR55" i="111"/>
  <c r="DQ53" i="111"/>
  <c r="DR38" i="111"/>
  <c r="DO36" i="111"/>
  <c r="DN51" i="111"/>
  <c r="DN34" i="111"/>
  <c r="DM43" i="111"/>
  <c r="DM49" i="111"/>
  <c r="DM57" i="111" s="1"/>
  <c r="EB6" i="111"/>
  <c r="EO10" i="111"/>
  <c r="EO9" i="111"/>
  <c r="DY8" i="111"/>
  <c r="DP4" i="111"/>
  <c r="DO12" i="111"/>
  <c r="DP37" i="111"/>
  <c r="DO52" i="111"/>
  <c r="EB7" i="111"/>
  <c r="DP39" i="111" l="1"/>
  <c r="DO54" i="111"/>
  <c r="DS38" i="111"/>
  <c r="DR53" i="111"/>
  <c r="DS55" i="111"/>
  <c r="DT40" i="111"/>
  <c r="EP10" i="111"/>
  <c r="DQ37" i="111"/>
  <c r="DP52" i="111"/>
  <c r="DZ8" i="111"/>
  <c r="DO34" i="111"/>
  <c r="DN43" i="111"/>
  <c r="DN49" i="111"/>
  <c r="DN57" i="111" s="1"/>
  <c r="EC6" i="111"/>
  <c r="DQ4" i="111"/>
  <c r="DP12" i="111"/>
  <c r="EP9" i="111"/>
  <c r="EC7" i="111"/>
  <c r="DP36" i="111"/>
  <c r="DO51" i="111"/>
  <c r="DQ39" i="111" l="1"/>
  <c r="DP54" i="111"/>
  <c r="DT55" i="111"/>
  <c r="DU40" i="111"/>
  <c r="DT38" i="111"/>
  <c r="DS53" i="111"/>
  <c r="ED7" i="111"/>
  <c r="DR37" i="111"/>
  <c r="DQ52" i="111"/>
  <c r="EQ9" i="111"/>
  <c r="EA8" i="111"/>
  <c r="DR4" i="111"/>
  <c r="DQ12" i="111"/>
  <c r="ED6" i="111"/>
  <c r="DQ36" i="111"/>
  <c r="DP51" i="111"/>
  <c r="DP34" i="111"/>
  <c r="DO43" i="111"/>
  <c r="DO49" i="111"/>
  <c r="DO57" i="111" s="1"/>
  <c r="EQ10" i="111"/>
  <c r="DR39" i="111" l="1"/>
  <c r="DQ54" i="111"/>
  <c r="DT53" i="111"/>
  <c r="DU38" i="111"/>
  <c r="DU55" i="111"/>
  <c r="DV40" i="111"/>
  <c r="DQ34" i="111"/>
  <c r="DP43" i="111"/>
  <c r="DP49" i="111"/>
  <c r="DP57" i="111" s="1"/>
  <c r="DR36" i="111"/>
  <c r="DQ51" i="111"/>
  <c r="EE7" i="111"/>
  <c r="DS4" i="111"/>
  <c r="DR12" i="111"/>
  <c r="EB8" i="111"/>
  <c r="EE6" i="111"/>
  <c r="DS37" i="111"/>
  <c r="DR52" i="111"/>
  <c r="DR54" i="111" l="1"/>
  <c r="DS39" i="111"/>
  <c r="DW40" i="111"/>
  <c r="DV55" i="111"/>
  <c r="DV38" i="111"/>
  <c r="DU53" i="111"/>
  <c r="EF7" i="111"/>
  <c r="EF6" i="111"/>
  <c r="DS36" i="111"/>
  <c r="DR51" i="111"/>
  <c r="DT37" i="111"/>
  <c r="DS52" i="111"/>
  <c r="EC8" i="111"/>
  <c r="DT4" i="111"/>
  <c r="DS12" i="111"/>
  <c r="DR34" i="111"/>
  <c r="DQ43" i="111"/>
  <c r="DQ49" i="111"/>
  <c r="DQ57" i="111" s="1"/>
  <c r="DS54" i="111" l="1"/>
  <c r="DT39" i="111"/>
  <c r="DW38" i="111"/>
  <c r="DV53" i="111"/>
  <c r="DW55" i="111"/>
  <c r="DX40" i="111"/>
  <c r="EG6" i="111"/>
  <c r="DS34" i="111"/>
  <c r="DR43" i="111"/>
  <c r="DR49" i="111"/>
  <c r="DR57" i="111" s="1"/>
  <c r="DU37" i="111"/>
  <c r="DT52" i="111"/>
  <c r="ED8" i="111"/>
  <c r="EG7" i="111"/>
  <c r="DU4" i="111"/>
  <c r="DT12" i="111"/>
  <c r="DT36" i="111"/>
  <c r="DS51" i="111"/>
  <c r="DT54" i="111" l="1"/>
  <c r="DU39" i="111"/>
  <c r="DY40" i="111"/>
  <c r="DX55" i="111"/>
  <c r="DX38" i="111"/>
  <c r="DW53" i="111"/>
  <c r="DS43" i="111"/>
  <c r="DT34" i="111"/>
  <c r="DS49" i="111"/>
  <c r="DS57" i="111" s="1"/>
  <c r="EH7" i="111"/>
  <c r="DV37" i="111"/>
  <c r="DU52" i="111"/>
  <c r="EH6" i="111"/>
  <c r="DV4" i="111"/>
  <c r="DU12" i="111"/>
  <c r="DU36" i="111"/>
  <c r="DT51" i="111"/>
  <c r="EE8" i="111"/>
  <c r="DU54" i="111" l="1"/>
  <c r="DV39" i="111"/>
  <c r="DY38" i="111"/>
  <c r="DX53" i="111"/>
  <c r="DY55" i="111"/>
  <c r="DZ40" i="111"/>
  <c r="EI7" i="111"/>
  <c r="DW4" i="111"/>
  <c r="DV12" i="111"/>
  <c r="DT43" i="111"/>
  <c r="DU34" i="111"/>
  <c r="DT49" i="111"/>
  <c r="DT57" i="111" s="1"/>
  <c r="DW37" i="111"/>
  <c r="DV52" i="111"/>
  <c r="EF8" i="111"/>
  <c r="EI6" i="111"/>
  <c r="DV36" i="111"/>
  <c r="DU51" i="111"/>
  <c r="DV54" i="111" l="1"/>
  <c r="DW39" i="111"/>
  <c r="DZ55" i="111"/>
  <c r="EA40" i="111"/>
  <c r="DY53" i="111"/>
  <c r="DZ38" i="111"/>
  <c r="DX37" i="111"/>
  <c r="DW52" i="111"/>
  <c r="DU43" i="111"/>
  <c r="DV34" i="111"/>
  <c r="DU49" i="111"/>
  <c r="DU57" i="111" s="1"/>
  <c r="EJ6" i="111"/>
  <c r="DW36" i="111"/>
  <c r="DV51" i="111"/>
  <c r="EJ7" i="111"/>
  <c r="EG8" i="111"/>
  <c r="DX4" i="111"/>
  <c r="DW12" i="111"/>
  <c r="DX39" i="111" l="1"/>
  <c r="DW54" i="111"/>
  <c r="DZ53" i="111"/>
  <c r="EA38" i="111"/>
  <c r="EB40" i="111"/>
  <c r="EA55" i="111"/>
  <c r="EK6" i="111"/>
  <c r="EK7" i="111"/>
  <c r="EH8" i="111"/>
  <c r="DW34" i="111"/>
  <c r="DV43" i="111"/>
  <c r="DV49" i="111"/>
  <c r="DV57" i="111" s="1"/>
  <c r="DX36" i="111"/>
  <c r="DW51" i="111"/>
  <c r="DY4" i="111"/>
  <c r="DX12" i="111"/>
  <c r="DY37" i="111"/>
  <c r="DX52" i="111"/>
  <c r="DX54" i="111" l="1"/>
  <c r="DY39" i="111"/>
  <c r="EB38" i="111"/>
  <c r="EA53" i="111"/>
  <c r="EC40" i="111"/>
  <c r="EB55" i="111"/>
  <c r="EI8" i="111"/>
  <c r="DY36" i="111"/>
  <c r="DX51" i="111"/>
  <c r="EL7" i="111"/>
  <c r="DZ37" i="111"/>
  <c r="DY52" i="111"/>
  <c r="DZ4" i="111"/>
  <c r="DY12" i="111"/>
  <c r="DW43" i="111"/>
  <c r="DX34" i="111"/>
  <c r="DW49" i="111"/>
  <c r="DW57" i="111" s="1"/>
  <c r="EL6" i="111"/>
  <c r="DY54" i="111" l="1"/>
  <c r="DZ39" i="111"/>
  <c r="ED40" i="111"/>
  <c r="EC55" i="111"/>
  <c r="EB53" i="111"/>
  <c r="EC38" i="111"/>
  <c r="EA4" i="111"/>
  <c r="DZ12" i="111"/>
  <c r="EM7" i="111"/>
  <c r="DZ36" i="111"/>
  <c r="DY51" i="111"/>
  <c r="EM6" i="111"/>
  <c r="DY34" i="111"/>
  <c r="DX43" i="111"/>
  <c r="DX49" i="111"/>
  <c r="DX57" i="111" s="1"/>
  <c r="EA37" i="111"/>
  <c r="DZ52" i="111"/>
  <c r="EJ8" i="111"/>
  <c r="DZ54" i="111" l="1"/>
  <c r="EA39" i="111"/>
  <c r="ED38" i="111"/>
  <c r="EC53" i="111"/>
  <c r="EE40" i="111"/>
  <c r="ED55" i="111"/>
  <c r="EK8" i="111"/>
  <c r="EN6" i="111"/>
  <c r="DZ34" i="111"/>
  <c r="DY43" i="111"/>
  <c r="DY49" i="111"/>
  <c r="DY57" i="111" s="1"/>
  <c r="EN7" i="111"/>
  <c r="EA36" i="111"/>
  <c r="DZ51" i="111"/>
  <c r="EB37" i="111"/>
  <c r="EA52" i="111"/>
  <c r="EB4" i="111"/>
  <c r="EA12" i="111"/>
  <c r="EB39" i="111" l="1"/>
  <c r="EA54" i="111"/>
  <c r="EF40" i="111"/>
  <c r="EE55" i="111"/>
  <c r="ED53" i="111"/>
  <c r="EE38" i="111"/>
  <c r="EB36" i="111"/>
  <c r="EA51" i="111"/>
  <c r="EC4" i="111"/>
  <c r="EB12" i="111"/>
  <c r="EO7" i="111"/>
  <c r="EL8" i="111"/>
  <c r="EO6" i="111"/>
  <c r="EC37" i="111"/>
  <c r="EB52" i="111"/>
  <c r="EA34" i="111"/>
  <c r="DZ43" i="111"/>
  <c r="DZ49" i="111"/>
  <c r="DZ57" i="111" s="1"/>
  <c r="EC39" i="111" l="1"/>
  <c r="EB54" i="111"/>
  <c r="EF38" i="111"/>
  <c r="EE53" i="111"/>
  <c r="EF55" i="111"/>
  <c r="EG40" i="111"/>
  <c r="EC12" i="111"/>
  <c r="ED4" i="111"/>
  <c r="EP6" i="111"/>
  <c r="EM8" i="111"/>
  <c r="EB34" i="111"/>
  <c r="EA43" i="111"/>
  <c r="EA49" i="111"/>
  <c r="EA57" i="111" s="1"/>
  <c r="ED37" i="111"/>
  <c r="EC52" i="111"/>
  <c r="EC36" i="111"/>
  <c r="EB51" i="111"/>
  <c r="EP7" i="111"/>
  <c r="ED39" i="111" l="1"/>
  <c r="EC54" i="111"/>
  <c r="EH40" i="111"/>
  <c r="EG55" i="111"/>
  <c r="EG38" i="111"/>
  <c r="EF53" i="111"/>
  <c r="EQ6" i="111"/>
  <c r="EE37" i="111"/>
  <c r="ED52" i="111"/>
  <c r="EC34" i="111"/>
  <c r="EB43" i="111"/>
  <c r="EB49" i="111"/>
  <c r="EB57" i="111" s="1"/>
  <c r="EE4" i="111"/>
  <c r="ED12" i="111"/>
  <c r="EQ7" i="111"/>
  <c r="EN8" i="111"/>
  <c r="ED36" i="111"/>
  <c r="EC51" i="111"/>
  <c r="EE39" i="111" l="1"/>
  <c r="ED54" i="111"/>
  <c r="EG53" i="111"/>
  <c r="EH38" i="111"/>
  <c r="EI40" i="111"/>
  <c r="EH55" i="111"/>
  <c r="EF4" i="111"/>
  <c r="EE12" i="111"/>
  <c r="EE36" i="111"/>
  <c r="ED51" i="111"/>
  <c r="EF37" i="111"/>
  <c r="EE52" i="111"/>
  <c r="ED34" i="111"/>
  <c r="EC43" i="111"/>
  <c r="EC49" i="111"/>
  <c r="EC57" i="111" s="1"/>
  <c r="EO8" i="111"/>
  <c r="EF39" i="111" l="1"/>
  <c r="EE54" i="111"/>
  <c r="EJ40" i="111"/>
  <c r="EI55" i="111"/>
  <c r="EI38" i="111"/>
  <c r="EH53" i="111"/>
  <c r="EG37" i="111"/>
  <c r="EF52" i="111"/>
  <c r="EF36" i="111"/>
  <c r="EE51" i="111"/>
  <c r="EE34" i="111"/>
  <c r="ED43" i="111"/>
  <c r="ED49" i="111"/>
  <c r="ED57" i="111" s="1"/>
  <c r="EP8" i="111"/>
  <c r="EG4" i="111"/>
  <c r="EF12" i="111"/>
  <c r="EG39" i="111" l="1"/>
  <c r="EF54" i="111"/>
  <c r="EJ38" i="111"/>
  <c r="EI53" i="111"/>
  <c r="EJ55" i="111"/>
  <c r="EK40" i="111"/>
  <c r="EQ8" i="111"/>
  <c r="EG12" i="111"/>
  <c r="EH4" i="111"/>
  <c r="EG36" i="111"/>
  <c r="EF51" i="111"/>
  <c r="EE43" i="111"/>
  <c r="EF34" i="111"/>
  <c r="EE49" i="111"/>
  <c r="EE57" i="111" s="1"/>
  <c r="EH37" i="111"/>
  <c r="EG52" i="111"/>
  <c r="EG54" i="111" l="1"/>
  <c r="EH39" i="111"/>
  <c r="EK55" i="111"/>
  <c r="EL40" i="111"/>
  <c r="EJ53" i="111"/>
  <c r="EK38" i="111"/>
  <c r="EI4" i="111"/>
  <c r="EH12" i="111"/>
  <c r="EG34" i="111"/>
  <c r="EF43" i="111"/>
  <c r="EF49" i="111"/>
  <c r="EF57" i="111" s="1"/>
  <c r="EH36" i="111"/>
  <c r="EG51" i="111"/>
  <c r="EI37" i="111"/>
  <c r="EH52" i="111"/>
  <c r="EI39" i="111" l="1"/>
  <c r="EH54" i="111"/>
  <c r="EL38" i="111"/>
  <c r="EK53" i="111"/>
  <c r="EL55" i="111"/>
  <c r="EM40" i="111"/>
  <c r="EI36" i="111"/>
  <c r="EH51" i="111"/>
  <c r="EH34" i="111"/>
  <c r="EG43" i="111"/>
  <c r="EG49" i="111"/>
  <c r="EG57" i="111" s="1"/>
  <c r="EJ4" i="111"/>
  <c r="EI12" i="111"/>
  <c r="EJ37" i="111"/>
  <c r="EI52" i="111"/>
  <c r="EI54" i="111" l="1"/>
  <c r="EJ39" i="111"/>
  <c r="EN40" i="111"/>
  <c r="EM55" i="111"/>
  <c r="EM38" i="111"/>
  <c r="EL53" i="111"/>
  <c r="EI34" i="111"/>
  <c r="EH43" i="111"/>
  <c r="EH49" i="111"/>
  <c r="EH57" i="111" s="1"/>
  <c r="EK37" i="111"/>
  <c r="EJ52" i="111"/>
  <c r="EJ36" i="111"/>
  <c r="EI51" i="111"/>
  <c r="EK4" i="111"/>
  <c r="EJ12" i="111"/>
  <c r="EK39" i="111" l="1"/>
  <c r="EJ54" i="111"/>
  <c r="EN38" i="111"/>
  <c r="EM53" i="111"/>
  <c r="EO40" i="111"/>
  <c r="EN55" i="111"/>
  <c r="EL37" i="111"/>
  <c r="EK52" i="111"/>
  <c r="EK36" i="111"/>
  <c r="EJ51" i="111"/>
  <c r="EK12" i="111"/>
  <c r="EL4" i="111"/>
  <c r="EJ34" i="111"/>
  <c r="EI43" i="111"/>
  <c r="EI49" i="111"/>
  <c r="EI57" i="111" s="1"/>
  <c r="EL39" i="111" l="1"/>
  <c r="EK54" i="111"/>
  <c r="EP40" i="111"/>
  <c r="EO55" i="111"/>
  <c r="EO38" i="111"/>
  <c r="EN53" i="111"/>
  <c r="EM4" i="111"/>
  <c r="EL12" i="111"/>
  <c r="EL36" i="111"/>
  <c r="EK51" i="111"/>
  <c r="EJ43" i="111"/>
  <c r="EK34" i="111"/>
  <c r="EJ49" i="111"/>
  <c r="EJ57" i="111" s="1"/>
  <c r="EM37" i="111"/>
  <c r="EL52" i="111"/>
  <c r="EL54" i="111" l="1"/>
  <c r="EM39" i="111"/>
  <c r="EP38" i="111"/>
  <c r="EO53" i="111"/>
  <c r="EP55" i="111"/>
  <c r="EQ40" i="111"/>
  <c r="EQ55" i="111" s="1"/>
  <c r="EK43" i="111"/>
  <c r="EL34" i="111"/>
  <c r="EK49" i="111"/>
  <c r="EK57" i="111" s="1"/>
  <c r="EM36" i="111"/>
  <c r="EL51" i="111"/>
  <c r="EN37" i="111"/>
  <c r="EM52" i="111"/>
  <c r="EN4" i="111"/>
  <c r="EM12" i="111"/>
  <c r="EM54" i="111" l="1"/>
  <c r="EN39" i="111"/>
  <c r="EQ38" i="111"/>
  <c r="EQ53" i="111" s="1"/>
  <c r="EP53" i="111"/>
  <c r="EN36" i="111"/>
  <c r="EM51" i="111"/>
  <c r="EM34" i="111"/>
  <c r="EL43" i="111"/>
  <c r="EL49" i="111"/>
  <c r="EL57" i="111" s="1"/>
  <c r="EO37" i="111"/>
  <c r="EN52" i="111"/>
  <c r="EO4" i="111"/>
  <c r="EN12" i="111"/>
  <c r="EN54" i="111" l="1"/>
  <c r="EO39" i="111"/>
  <c r="EO12" i="111"/>
  <c r="EP4" i="111"/>
  <c r="EP37" i="111"/>
  <c r="EO52" i="111"/>
  <c r="EM43" i="111"/>
  <c r="EN34" i="111"/>
  <c r="EM49" i="111"/>
  <c r="EM57" i="111" s="1"/>
  <c r="EO36" i="111"/>
  <c r="EN51" i="111"/>
  <c r="EP39" i="111" l="1"/>
  <c r="EO54" i="111"/>
  <c r="EO34" i="111"/>
  <c r="EN43" i="111"/>
  <c r="EN49" i="111"/>
  <c r="EN57" i="111" s="1"/>
  <c r="EQ37" i="111"/>
  <c r="EQ52" i="111" s="1"/>
  <c r="EP52" i="111"/>
  <c r="EQ4" i="111"/>
  <c r="EP12" i="111"/>
  <c r="EP36" i="111"/>
  <c r="EO51" i="111"/>
  <c r="EQ39" i="111" l="1"/>
  <c r="EQ54" i="111" s="1"/>
  <c r="EP54" i="111"/>
  <c r="EQ12" i="111"/>
  <c r="EQ36" i="111"/>
  <c r="EQ51" i="111" s="1"/>
  <c r="EP51" i="111"/>
  <c r="EP34" i="111"/>
  <c r="EO43" i="111"/>
  <c r="EO49" i="111"/>
  <c r="EO57" i="111" s="1"/>
  <c r="EQ34" i="111" l="1"/>
  <c r="EP43" i="111"/>
  <c r="EP49" i="111"/>
  <c r="EP57" i="111" s="1"/>
  <c r="EQ43" i="111" l="1"/>
  <c r="EQ49" i="111"/>
  <c r="EQ57" i="111" s="1"/>
  <c r="F43" i="125"/>
  <c r="F44" i="125"/>
  <c r="AC11" i="112"/>
  <c r="AC14" i="112"/>
  <c r="AB14" i="112"/>
  <c r="E14" i="112"/>
  <c r="E19" i="112" s="1"/>
  <c r="E21" i="112" l="1"/>
  <c r="B5" i="58"/>
  <c r="AD11" i="112"/>
  <c r="AD14" i="112" s="1"/>
  <c r="AG11" i="112" l="1"/>
  <c r="G5" i="58"/>
  <c r="H5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 K</author>
  </authors>
  <commentList>
    <comment ref="O17" authorId="0" shapeId="0" xr:uid="{FE01E3A7-CD8D-4EF4-9C64-770103618AE0}">
      <text>
        <r>
          <rPr>
            <b/>
            <sz val="9"/>
            <color indexed="81"/>
            <rFont val="Tahoma"/>
            <family val="2"/>
          </rPr>
          <t>D K:</t>
        </r>
        <r>
          <rPr>
            <sz val="9"/>
            <color indexed="81"/>
            <rFont val="Tahoma"/>
            <family val="2"/>
          </rPr>
          <t xml:space="preserve">
Add uncleared items here to match QB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 K</author>
    <author>tc={AD87A478-56CC-47A8-8715-A3D18EEBADBA}</author>
    <author>aurak</author>
  </authors>
  <commentList>
    <comment ref="A2" authorId="0" shapeId="0" xr:uid="{E46349F0-17D0-4E5C-8162-EAACA2FC62D5}">
      <text>
        <r>
          <rPr>
            <b/>
            <sz val="9"/>
            <color indexed="81"/>
            <rFont val="Tahoma"/>
            <family val="2"/>
          </rPr>
          <t>D K:</t>
        </r>
        <r>
          <rPr>
            <sz val="9"/>
            <color indexed="81"/>
            <rFont val="Tahoma"/>
            <family val="2"/>
          </rPr>
          <t xml:space="preserve">
Add assets, life of asset, and amount. Everything auto populates. </t>
        </r>
      </text>
    </comment>
    <comment ref="Y4" authorId="1" shapeId="0" xr:uid="{AD87A478-56CC-47A8-8715-A3D18EEBADBA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for 1k (PAS)</t>
      </text>
    </comment>
    <comment ref="AP6" authorId="2" shapeId="0" xr:uid="{B4C0D0C3-EDD0-4996-9C8B-2B56D5CC2947}">
      <text>
        <r>
          <rPr>
            <b/>
            <sz val="9"/>
            <color indexed="81"/>
            <rFont val="Tahoma"/>
            <family val="2"/>
          </rPr>
          <t>aurak:</t>
        </r>
        <r>
          <rPr>
            <sz val="9"/>
            <color indexed="81"/>
            <rFont val="Tahoma"/>
            <family val="2"/>
          </rPr>
          <t xml:space="preserve">
Sold PBC Fleet Duffy, NBV $22,063.31
</t>
        </r>
      </text>
    </comment>
    <comment ref="AP20" authorId="2" shapeId="0" xr:uid="{DD2C8750-B402-415C-9366-10480AF15307}">
      <text>
        <r>
          <rPr>
            <b/>
            <sz val="9"/>
            <color indexed="81"/>
            <rFont val="Tahoma"/>
            <family val="2"/>
          </rPr>
          <t>aurak:SUBTRACTING $171.98 FOR SALE OF DUFFY FROM PBC FLEET.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tc={1688AA07-144F-4F6B-B17C-9F7CCD3F238D}</author>
    <author>tc={BFBF3BA7-C43E-4B85-8C61-5E1ADB6FCE6D}</author>
    <author>tc={0FAE47DA-3AE0-4E4E-8CFE-3AC304BD91D8}</author>
    <author>tc={A43FFD83-DF10-4797-B764-9D6B794F929B}</author>
    <author>tc={CAEDE29C-DF12-46BD-8BFC-845FA1AAEEED}</author>
    <author>Admin</author>
    <author>tc={5DE51000-16EC-47D5-94DB-F489478F0297}</author>
    <author>aurak</author>
    <author>tc={C61DFB7B-F500-4CBE-8A3B-17AE8032F4D8}</author>
    <author>tc={51CE8EA7-2F84-44AE-8E33-FD8658432C23}</author>
    <author>tc={992674C4-E2BA-4C7C-9F42-B34B3BD276C4}</author>
    <author>tc={DCA765E2-4AD5-4A65-9B8D-DBDC2AD2CE1F}</author>
  </authors>
  <commentList>
    <comment ref="E13" authorId="0" shapeId="0" xr:uid="{1688AA07-144F-4F6B-B17C-9F7CCD3F238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Rebecca Smith part of this group</t>
      </text>
    </comment>
    <comment ref="E31" authorId="1" shapeId="0" xr:uid="{BFBF3BA7-C43E-4B85-8C61-5E1ADB6FCE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Cancelled. Need to check for money going back
</t>
      </text>
    </comment>
    <comment ref="C42" authorId="2" shapeId="0" xr:uid="{0FAE47DA-3AE0-4E4E-8CFE-3AC304BD91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Membership starts 4/1 but deposit was 3/7/2023 included deposit to match Spreadsheet to QB
</t>
      </text>
    </comment>
    <comment ref="E44" authorId="3" shapeId="0" xr:uid="{A43FFD83-DF10-4797-B764-9D6B794F929B}">
      <text>
        <t>[Threaded comment]
Your version of Excel allows you to read this threaded comment; however, any edits to it will get removed if the file is opened in a newer version of Excel. Learn more: https://go.microsoft.com/fwlink/?linkid=870924
Comment:
    Todd Fox prepaid 1 year membership starting in June but paid in April</t>
      </text>
    </comment>
    <comment ref="E52" authorId="4" shapeId="0" xr:uid="{CAEDE29C-DF12-46BD-8BFC-845FA1AAE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half Initiation and owes $12,250 6/15/2024 only recognizing 30 months for this half of Initiation fees</t>
      </text>
    </comment>
    <comment ref="E53" authorId="5" shapeId="0" xr:uid="{C3FBDA66-4634-40AD-BA5C-44B9098D55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Paying Initiation fees in three parts 
$4k paid in June
$4k paid in July
</t>
        </r>
      </text>
    </comment>
    <comment ref="E57" authorId="6" shapeId="0" xr:uid="{5DE51000-16EC-47D5-94DB-F489478F0297}">
      <text>
        <t>[Threaded comment]
Your version of Excel allows you to read this threaded comment; however, any edits to it will get removed if the file is opened in a newer version of Excel. Learn more: https://go.microsoft.com/fwlink/?linkid=870924
Comment:
    Paying half of $22500 in 2023 and other 50% in 2024.
For 2023 Deposit will amortize for 30 months
For 2024 deposit will amortize for second 30 month starting after first deposit is fully recognized</t>
      </text>
    </comment>
    <comment ref="E64" authorId="7" shapeId="0" xr:uid="{9CA01735-3A69-4F3C-A28F-86A47EF751D7}">
      <text>
        <r>
          <rPr>
            <b/>
            <sz val="9"/>
            <color indexed="81"/>
            <rFont val="Tahoma"/>
            <family val="2"/>
          </rPr>
          <t>aurak:</t>
        </r>
        <r>
          <rPr>
            <sz val="9"/>
            <color indexed="81"/>
            <rFont val="Tahoma"/>
            <family val="2"/>
          </rPr>
          <t xml:space="preserve">
Confirmed on 12/24 that membership was downgraded and is now $10K from $18K, starting 12/31 monthly amortized is $133.33 for remaining months.</t>
        </r>
      </text>
    </comment>
    <comment ref="AW64" authorId="7" shapeId="0" xr:uid="{4AAF95E0-DCE6-453E-911C-515CF535D6B5}">
      <text>
        <r>
          <rPr>
            <b/>
            <sz val="9"/>
            <color indexed="81"/>
            <rFont val="Tahoma"/>
            <family val="2"/>
          </rPr>
          <t>aurak:</t>
        </r>
        <r>
          <rPr>
            <sz val="9"/>
            <color indexed="81"/>
            <rFont val="Tahoma"/>
            <family val="2"/>
          </rPr>
          <t xml:space="preserve">
Confirmed that Kelly/Shelley downgraded. $18K-$8K = $10K - $3.6K (already ammortized)/48 remaining months to get 133.333 (new ammortized amount)
</t>
        </r>
      </text>
    </comment>
    <comment ref="E66" authorId="8" shapeId="0" xr:uid="{C61DFB7B-F500-4CBE-8A3B-17AE8032F4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Prepaid for 2024 Dues will start in JAN
</t>
      </text>
    </comment>
    <comment ref="E79" authorId="9" shapeId="0" xr:uid="{51CE8EA7-2F84-44AE-8E33-FD8658432C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DOESN"T START till JUNE 24
</t>
      </text>
    </comment>
    <comment ref="E80" authorId="10" shapeId="0" xr:uid="{992674C4-E2BA-4C7C-9F42-B34B3BD276C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portion of Iniation fees from 5/23. 
Will start recognized after first 30 months have been recognized</t>
      </text>
    </comment>
    <comment ref="E101" authorId="11" shapeId="0" xr:uid="{DCA765E2-4AD5-4A65-9B8D-DBDC2AD2CE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Downgraded memberhsip initiation fees total went from $18k to $10k
</t>
      </text>
    </comment>
  </commentList>
</comments>
</file>

<file path=xl/sharedStrings.xml><?xml version="1.0" encoding="utf-8"?>
<sst xmlns="http://schemas.openxmlformats.org/spreadsheetml/2006/main" count="937" uniqueCount="461">
  <si>
    <t>Beginning Balance</t>
  </si>
  <si>
    <t>Checks &amp; Payments</t>
  </si>
  <si>
    <t>Expand for detail</t>
  </si>
  <si>
    <t>Deposits &amp; Credits</t>
  </si>
  <si>
    <t>Statement Balance</t>
  </si>
  <si>
    <t>Uncleared Transactions</t>
  </si>
  <si>
    <t>Book Balance</t>
  </si>
  <si>
    <t>Total</t>
  </si>
  <si>
    <t>Date</t>
  </si>
  <si>
    <t>Debit</t>
  </si>
  <si>
    <t>Credit</t>
  </si>
  <si>
    <t>Payment</t>
  </si>
  <si>
    <t>Interest</t>
  </si>
  <si>
    <t>Period</t>
  </si>
  <si>
    <t>Total Checks and Payments</t>
  </si>
  <si>
    <t>Total Uncleared Transactions</t>
  </si>
  <si>
    <t xml:space="preserve">Total </t>
  </si>
  <si>
    <t>Monthly Depreciation</t>
  </si>
  <si>
    <t>Total Depreciation</t>
  </si>
  <si>
    <t>Acc Depreciation</t>
  </si>
  <si>
    <t>NBV</t>
  </si>
  <si>
    <t>Total NBV</t>
  </si>
  <si>
    <t>Vendor</t>
  </si>
  <si>
    <t>Adj T/B</t>
  </si>
  <si>
    <t>GL Date</t>
  </si>
  <si>
    <t>Total Amortized</t>
  </si>
  <si>
    <t>GL Total</t>
  </si>
  <si>
    <t>Life</t>
  </si>
  <si>
    <t>PR Accrual</t>
  </si>
  <si>
    <t>PR End Date</t>
  </si>
  <si>
    <t>Month End Date</t>
  </si>
  <si>
    <t>Outstanding Days</t>
  </si>
  <si>
    <t>Total Payroll</t>
  </si>
  <si>
    <t>Payroll Days</t>
  </si>
  <si>
    <t>Pay per day</t>
  </si>
  <si>
    <t>Assets</t>
  </si>
  <si>
    <t>DUES</t>
  </si>
  <si>
    <t>Check</t>
  </si>
  <si>
    <t>Principal</t>
  </si>
  <si>
    <t>**add screenshot of bank stmt</t>
  </si>
  <si>
    <t>Accrued</t>
  </si>
  <si>
    <t>Date Paid</t>
  </si>
  <si>
    <t>Paid</t>
  </si>
  <si>
    <t>Remaining</t>
  </si>
  <si>
    <t>Notes</t>
  </si>
  <si>
    <t>Accrued Exp</t>
  </si>
  <si>
    <t xml:space="preserve">Note: </t>
  </si>
  <si>
    <t>Other Payroll Liabilities</t>
  </si>
  <si>
    <t>Employee Trust</t>
  </si>
  <si>
    <t>Security Deposit</t>
  </si>
  <si>
    <t>A/R - Payroll</t>
  </si>
  <si>
    <t>A/R - Vendors</t>
  </si>
  <si>
    <t>GL Name</t>
  </si>
  <si>
    <t>GL Acct #</t>
  </si>
  <si>
    <t>Overall notes for entire book:</t>
  </si>
  <si>
    <t>Month:</t>
  </si>
  <si>
    <t>Accountant Notes for Month End</t>
  </si>
  <si>
    <t>Initial</t>
  </si>
  <si>
    <t>Approved By:</t>
  </si>
  <si>
    <t>Prepared By:</t>
  </si>
  <si>
    <t>Date:</t>
  </si>
  <si>
    <t xml:space="preserve">  COMMENTS:</t>
  </si>
  <si>
    <t xml:space="preserve">  CREATE NEWSLETTER FINANCIALS, SAVE TO SHARED FOLDER</t>
  </si>
  <si>
    <t xml:space="preserve">  DETERMINE DISTRIBUTION AMOUNT</t>
  </si>
  <si>
    <t xml:space="preserve">  OBTAIN FIXED ASSETS FORECAST</t>
  </si>
  <si>
    <t xml:space="preserve">  TYPE FINANCIAL REPORTS FOR INVESTORS</t>
  </si>
  <si>
    <t>DATE</t>
  </si>
  <si>
    <t>BY</t>
  </si>
  <si>
    <t>SPECIAL INSTRUCTIONS, QUARTER END</t>
  </si>
  <si>
    <t xml:space="preserve">  FINAL REVIEW &amp; APPROVAL</t>
  </si>
  <si>
    <t xml:space="preserve">  REVIEW OF ACCOUNTING WORK PAPERS - MANAGER</t>
  </si>
  <si>
    <t xml:space="preserve">  REVIEW OF ACCOUNTING WORK PAPERS - SUPERVISOR</t>
  </si>
  <si>
    <t>XY</t>
  </si>
  <si>
    <t xml:space="preserve">  ACCOUNTING WORK PAPERS PREPARED</t>
  </si>
  <si>
    <t xml:space="preserve">  FINANCIAL REPORT PROCESSING</t>
  </si>
  <si>
    <t xml:space="preserve">  MONTH:</t>
  </si>
  <si>
    <t xml:space="preserve">Aura </t>
  </si>
  <si>
    <t xml:space="preserve">  NAME OF ENTITY:</t>
  </si>
  <si>
    <t>MONTHLY ACCOUNTING FILE DOCKET SHEET</t>
  </si>
  <si>
    <t>Prepaid Total</t>
  </si>
  <si>
    <t>Difference</t>
  </si>
  <si>
    <t>10000 - Bank of America Checking 1020</t>
  </si>
  <si>
    <r>
      <rPr>
        <sz val="8"/>
        <rFont val="Arial"/>
        <family val="2"/>
      </rPr>
      <t xml:space="preserve">Cleared Balance
</t>
    </r>
    <r>
      <rPr>
        <b/>
        <sz val="8"/>
        <rFont val="Arial"/>
        <family val="2"/>
      </rPr>
      <t>Uncleared Transactions
Checks and Payments - 0 items</t>
    </r>
  </si>
  <si>
    <t>10000 Business Adv Relationship - 1020</t>
  </si>
  <si>
    <t>11000 Accounts Receivable</t>
  </si>
  <si>
    <t>13000 Axopar Suntop 37</t>
  </si>
  <si>
    <t>13100 Beneteau Flyer 9</t>
  </si>
  <si>
    <t>13200 Manitou 25 Oasis</t>
  </si>
  <si>
    <t>13400 NX 340 Sport Coupe</t>
  </si>
  <si>
    <t>13500 Axopar T-Top 28</t>
  </si>
  <si>
    <t>15000 Pacific Boat Club Fleet</t>
  </si>
  <si>
    <t>15500 Accumulated Depreciation</t>
  </si>
  <si>
    <t>17000 Goodwill</t>
  </si>
  <si>
    <t>18000 Accumulated Amortization</t>
  </si>
  <si>
    <t>21000 Accrued Expenses</t>
  </si>
  <si>
    <t>21050 Accrued Interest</t>
  </si>
  <si>
    <t>21100 Accrued Payroll</t>
  </si>
  <si>
    <t>21125 Unearned Revenue</t>
  </si>
  <si>
    <t>21150 Loan From Shareholder - CCM Integrated</t>
  </si>
  <si>
    <t>21200 Loan From Shareholder - Carlos Roman</t>
  </si>
  <si>
    <t>21300 Due To/From SoCal Nautical</t>
  </si>
  <si>
    <t>21350 Insurance Payable</t>
  </si>
  <si>
    <t>22000 Short-term business loans:ST - Axopar Suntop 37 Loan</t>
  </si>
  <si>
    <t>22050 Short-term business loans:ST - Beneteau Flyer 9</t>
  </si>
  <si>
    <t>22100 Short-term business loans:ST - Manitou 25 Oasis Loan</t>
  </si>
  <si>
    <t>22150 Short-term business loans:ST - Scott Tiernan Note</t>
  </si>
  <si>
    <t>22250 Short-term business loans:ST - NX 340 Sport Coupe Loan</t>
  </si>
  <si>
    <t>22300 Short-term business loans:ST - Axopar T-Top 28 Loan</t>
  </si>
  <si>
    <t>23000 Long-term business loans:LT - Axopar Suntop 37 Loan</t>
  </si>
  <si>
    <t>23050 Long-term business loans:LT - Beneteau Flyer 9</t>
  </si>
  <si>
    <t>23100 Long-term business loans:LT - Manitou 25 Oasis Loan</t>
  </si>
  <si>
    <t>23150 Long-term business loans:LT - Scott Tiernan Note</t>
  </si>
  <si>
    <t>23250 Long-term business loans:LT - NX 340 Sport Coupe Loan</t>
  </si>
  <si>
    <t>23300 Long-term business loans:LT - Axopar T-Top 28 Loan</t>
  </si>
  <si>
    <t>30000 Paid In Capital - CCM</t>
  </si>
  <si>
    <t>31000 Paid in Capital - SoCal Nautical</t>
  </si>
  <si>
    <t>34000 Retained Earnings</t>
  </si>
  <si>
    <t>Initiation Fees</t>
  </si>
  <si>
    <t>Unearned</t>
  </si>
  <si>
    <t>Not Cleared</t>
  </si>
  <si>
    <t>A/R ENDING BALANCE</t>
  </si>
  <si>
    <t>G/L</t>
  </si>
  <si>
    <t>Goodwill</t>
  </si>
  <si>
    <t>Amount</t>
  </si>
  <si>
    <t>Monthly Amortiz</t>
  </si>
  <si>
    <t>Total book Value</t>
  </si>
  <si>
    <t>AXOPAR SUNTOP 37</t>
  </si>
  <si>
    <t>BENETEAU FLYER 9</t>
  </si>
  <si>
    <t>MANITOU 25 OASIS</t>
  </si>
  <si>
    <t>SEA RAY 34 SUNDANCER</t>
  </si>
  <si>
    <t>PACIFIC BOAT CLUB FLEET</t>
  </si>
  <si>
    <t>NX 340 Sport Cruisr</t>
  </si>
  <si>
    <t>Axopar T-Top 28</t>
  </si>
  <si>
    <t>Accumulated Amortiz</t>
  </si>
  <si>
    <t>Name</t>
  </si>
  <si>
    <t>remaining</t>
  </si>
  <si>
    <t>First Insurance</t>
  </si>
  <si>
    <t>1/1/24-12/31/24</t>
  </si>
  <si>
    <t>7/1-12/31</t>
  </si>
  <si>
    <t>Total Prepaid</t>
  </si>
  <si>
    <t>Sitting in G/L</t>
  </si>
  <si>
    <t>Salaries Accrual</t>
  </si>
  <si>
    <t>Total Taxes</t>
  </si>
  <si>
    <t xml:space="preserve"> Taxes Accrual</t>
  </si>
  <si>
    <t>1099 Payroll</t>
  </si>
  <si>
    <t>1099 Accrual</t>
  </si>
  <si>
    <t>COMMISSION</t>
  </si>
  <si>
    <t>ACCRUAL</t>
  </si>
  <si>
    <t>Bonus</t>
  </si>
  <si>
    <t>Total Payroll Accrual</t>
  </si>
  <si>
    <t>Officer Wages</t>
  </si>
  <si>
    <t>Officer Taxes</t>
  </si>
  <si>
    <t>Officer Commissions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</si>
  <si>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</si>
  <si>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</si>
  <si>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</si>
  <si>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</si>
  <si>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</si>
  <si>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</si>
  <si>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</si>
  <si>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</si>
  <si>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</si>
  <si>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</si>
  <si>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PAYMENT</t>
  </si>
  <si>
    <t>PRINCIPAL</t>
  </si>
  <si>
    <t>SOCAL PORTION</t>
  </si>
  <si>
    <t>CAREFREE PORTION</t>
  </si>
  <si>
    <t>INTEREST</t>
  </si>
  <si>
    <t>SOCAL END BALANCE</t>
  </si>
  <si>
    <t>CAREFREE END BALANCE</t>
  </si>
  <si>
    <t>SoCal</t>
  </si>
  <si>
    <t>Carefree</t>
  </si>
  <si>
    <t>Over-Payment Late Fee</t>
  </si>
  <si>
    <t>Security &amp; Delivery Fee</t>
  </si>
  <si>
    <t># of Periods</t>
  </si>
  <si>
    <t>APR</t>
  </si>
  <si>
    <t>Interest/Period</t>
  </si>
  <si>
    <t>Closing Date</t>
  </si>
  <si>
    <t>Current Portion</t>
  </si>
  <si>
    <t>Long Term Portion</t>
  </si>
  <si>
    <t xml:space="preserve">Ending </t>
  </si>
  <si>
    <t>Accrued interest</t>
  </si>
  <si>
    <t>Beginning</t>
  </si>
  <si>
    <t>2021 RECOGNITION</t>
  </si>
  <si>
    <t>JOIN DATE</t>
  </si>
  <si>
    <t xml:space="preserve">MEMBER </t>
  </si>
  <si>
    <t>COLLECTED</t>
  </si>
  <si>
    <t>MONTHLY RECOGNITION</t>
  </si>
  <si>
    <t>END DATE</t>
  </si>
  <si>
    <t>Michale Kurland and Jerry Jon Thomas</t>
  </si>
  <si>
    <t>Greg and Karen Castro</t>
  </si>
  <si>
    <t>Joe and Maryela Pinkston</t>
  </si>
  <si>
    <t>J. Paul Kovacs and Karen &amp; George Parmenter</t>
  </si>
  <si>
    <t>Jack Yao and Mike Chen</t>
  </si>
  <si>
    <t>Cory Freeman / Rebecca Smith</t>
  </si>
  <si>
    <t>Sherif El Dabe and Michael Yeung</t>
  </si>
  <si>
    <t>Andy Stavros and Travis Smith</t>
  </si>
  <si>
    <t>Monthly Membership Dues</t>
  </si>
  <si>
    <t>Sam Kasbar</t>
  </si>
  <si>
    <t>Dean Miles</t>
  </si>
  <si>
    <t>Vincent Huang</t>
  </si>
  <si>
    <t>Nany Caruso</t>
  </si>
  <si>
    <t>David Pann and Alex Razo</t>
  </si>
  <si>
    <t>Terri Eisenberg</t>
  </si>
  <si>
    <t>Diyonne and Manny Rojas</t>
  </si>
  <si>
    <t>Robert LaMattina</t>
  </si>
  <si>
    <t>Nathan and Renee Linder</t>
  </si>
  <si>
    <t>Jeff Schaffer, David McReynolds</t>
  </si>
  <si>
    <t>Andy Peters</t>
  </si>
  <si>
    <t>Jeff and Wendy Azevedo</t>
  </si>
  <si>
    <t>Gary and Laura McArdell</t>
  </si>
  <si>
    <t xml:space="preserve">Chuck Le </t>
  </si>
  <si>
    <t>Mark Jones</t>
  </si>
  <si>
    <t>Audrey Few</t>
  </si>
  <si>
    <t>Piero Broccardo</t>
  </si>
  <si>
    <t>Purvis Payne</t>
  </si>
  <si>
    <t>Shawn and Julia Edwards</t>
  </si>
  <si>
    <t>Kerry and Sirenia Sabo</t>
  </si>
  <si>
    <t>Jeremy Rhyne</t>
  </si>
  <si>
    <t>Jeremy Buckman and Marim Abdul</t>
  </si>
  <si>
    <t>Ken Sunshine</t>
  </si>
  <si>
    <t>Nancy Caruso</t>
  </si>
  <si>
    <t>Sebastian Ocuilleanian</t>
  </si>
  <si>
    <t>Todd Fox</t>
  </si>
  <si>
    <t>David Melo</t>
  </si>
  <si>
    <t>Joseph and Ryan Bonacci</t>
  </si>
  <si>
    <t>Charles Chacon</t>
  </si>
  <si>
    <t>Jay Wyatt and Evan Nickel</t>
  </si>
  <si>
    <t>Karim Gobran</t>
  </si>
  <si>
    <t>Kathleen and Enrique Conterno</t>
  </si>
  <si>
    <t>David and Ryan Buynak</t>
  </si>
  <si>
    <t>Sam and David Khorramshahi</t>
  </si>
  <si>
    <t>Gary Highland</t>
  </si>
  <si>
    <t>Debra Strougo</t>
  </si>
  <si>
    <t>Martin Lopez</t>
  </si>
  <si>
    <t>James F. Lineback</t>
  </si>
  <si>
    <t>Colton Whitney Brian Barbour</t>
  </si>
  <si>
    <t>Kelly Oconnell and Shelley Lacona</t>
  </si>
  <si>
    <t>Leon Weathersby and Lauren Hobb</t>
  </si>
  <si>
    <t>David Durant and Omar Othman</t>
  </si>
  <si>
    <t>Brian Walrod and Skip Kingery</t>
  </si>
  <si>
    <t>Scott Dixon</t>
  </si>
  <si>
    <t>Gary McArdell</t>
  </si>
  <si>
    <t>Joe Faruqui</t>
  </si>
  <si>
    <t>Autumn Lemon</t>
  </si>
  <si>
    <t>Scott Javore</t>
  </si>
  <si>
    <t>Ralph Dion and David Groth</t>
  </si>
  <si>
    <t>Joe Bonacci</t>
  </si>
  <si>
    <t>Adrian heffernan</t>
  </si>
  <si>
    <t>West Coast Lending</t>
  </si>
  <si>
    <t>Blake Bollen and John Bollen</t>
  </si>
  <si>
    <t>Ken Fait and Jimmyu Sabatino</t>
  </si>
  <si>
    <t>Bruce and Jackie Gulbas</t>
  </si>
  <si>
    <t>Nik Kafetzopoulos</t>
  </si>
  <si>
    <t>Eric Dall</t>
  </si>
  <si>
    <t>Monthly Revenue Total</t>
  </si>
  <si>
    <t>Total Revenue</t>
  </si>
  <si>
    <t>June Rev</t>
  </si>
  <si>
    <t>Wrong</t>
  </si>
  <si>
    <t>Correct</t>
  </si>
  <si>
    <t>Dues</t>
  </si>
  <si>
    <t>Fees</t>
  </si>
  <si>
    <t>July Rev</t>
  </si>
  <si>
    <t>Manitou Boat</t>
  </si>
  <si>
    <t>Scott Tiernan</t>
  </si>
  <si>
    <t>*Employer taxes only</t>
  </si>
  <si>
    <t>Undeposited Checks</t>
  </si>
  <si>
    <t>initiation fees not paid</t>
  </si>
  <si>
    <t>Service Charges</t>
  </si>
  <si>
    <t>Joe DeCosta</t>
  </si>
  <si>
    <t>David Finke</t>
  </si>
  <si>
    <t xml:space="preserve"> </t>
  </si>
  <si>
    <t xml:space="preserve">John (Jack) Biehl </t>
  </si>
  <si>
    <t>Blake R Hite (Andrew &amp; Goeff)</t>
  </si>
  <si>
    <t>December</t>
  </si>
  <si>
    <t>First Insurance Policy</t>
  </si>
  <si>
    <t>OMO0038329</t>
  </si>
  <si>
    <t>XLO0034678</t>
  </si>
  <si>
    <t>Amortization</t>
  </si>
  <si>
    <t>November</t>
  </si>
  <si>
    <t>OFFICER PAYROLL NOT PAID OUT</t>
  </si>
  <si>
    <t>AMOUNT</t>
  </si>
  <si>
    <t>NOVEMBER</t>
  </si>
  <si>
    <t>Socal Insurance Liability</t>
  </si>
  <si>
    <t xml:space="preserve">Carefree END </t>
  </si>
  <si>
    <t>Carefree Insurance Liabilty</t>
  </si>
  <si>
    <t>Downpayment</t>
  </si>
  <si>
    <t>Socal(SD)  Portion 70%</t>
  </si>
  <si>
    <t>Carefreee(Newport) Portion 30%</t>
  </si>
  <si>
    <t>Down payment</t>
  </si>
  <si>
    <t>Socal Portion</t>
  </si>
  <si>
    <t>Carefree Portion</t>
  </si>
  <si>
    <t>Ending Balance</t>
  </si>
  <si>
    <t>1/1/25-12/31-2025</t>
  </si>
  <si>
    <t>ENDING BALANCE</t>
  </si>
  <si>
    <t>ACCUM AMORT</t>
  </si>
  <si>
    <t>Bank Deposits</t>
  </si>
  <si>
    <t xml:space="preserve">WRITE OFF AMOUNT </t>
  </si>
  <si>
    <t>OCTOBER</t>
  </si>
  <si>
    <t>JANUARY</t>
  </si>
  <si>
    <t>FEBRUARY</t>
  </si>
  <si>
    <t>MARCH</t>
  </si>
  <si>
    <t>APRIL</t>
  </si>
  <si>
    <t>carlos/peter</t>
  </si>
  <si>
    <t>paid or NA</t>
  </si>
  <si>
    <t>UNPAID</t>
  </si>
  <si>
    <t>Brian Walrod and Skip kingery</t>
  </si>
  <si>
    <t>Carlos/peter</t>
  </si>
  <si>
    <t>Ryan</t>
  </si>
  <si>
    <t>Peter Carlos</t>
  </si>
  <si>
    <t>Ken Fait and Jimmy Sabatino</t>
  </si>
  <si>
    <t>Ryan referral</t>
  </si>
  <si>
    <t>Split</t>
  </si>
  <si>
    <t>Dave Groth/Ralph Dion half membership paired with Adrian Heffernan</t>
  </si>
  <si>
    <t>Adrian and Meghan Heffernan</t>
  </si>
  <si>
    <t>Carlos Peter</t>
  </si>
  <si>
    <t>Blake Bollen and John Bollen (needs second half filled)</t>
  </si>
  <si>
    <t>West Capital Lending CORPORATE (Daniel, Eric, Tony, Amir)</t>
  </si>
  <si>
    <t>Peter/Carlos</t>
  </si>
  <si>
    <t>Joe DeCosta (half yacht paired with Finke)</t>
  </si>
  <si>
    <t>David and Eric Finke (paired w Joe decosta)</t>
  </si>
  <si>
    <t>Jack Biehl (half yacht needs partner)</t>
  </si>
  <si>
    <t>Blake Andrew and Geoff</t>
  </si>
  <si>
    <t>Date Sold</t>
  </si>
  <si>
    <t>Customer name</t>
  </si>
  <si>
    <t>initiation</t>
  </si>
  <si>
    <t>commission due</t>
  </si>
  <si>
    <t>Salesperson</t>
  </si>
  <si>
    <t>Commission % (Determined by monthly sales volume</t>
  </si>
  <si>
    <t>Ryan commishpaid</t>
  </si>
  <si>
    <t>peter and carlos</t>
  </si>
  <si>
    <t>STATE COMP INSURANCE</t>
  </si>
  <si>
    <t>Total Policy Amount</t>
  </si>
  <si>
    <t>Per Entity</t>
  </si>
  <si>
    <t>Boat fees</t>
  </si>
  <si>
    <t>Total Amount Per Entity</t>
  </si>
  <si>
    <t>DOWNPAYMENT PER ENTITY</t>
  </si>
  <si>
    <t>11600 Prepaid expenses</t>
  </si>
  <si>
    <t>21101 Accrued Payroll:Officer Wages Payable</t>
  </si>
  <si>
    <t>21102 Accrued Payroll:Contractor Wages Payable</t>
  </si>
  <si>
    <t>Sales Commission</t>
  </si>
  <si>
    <t>1/17/2025</t>
  </si>
  <si>
    <t>Ray and Brooke Wood</t>
  </si>
  <si>
    <t>$6,090.00</t>
  </si>
  <si>
    <t>$609.00</t>
  </si>
  <si>
    <t>Wendel R. Wood</t>
  </si>
  <si>
    <t xml:space="preserve"> Hits in next month</t>
  </si>
  <si>
    <t>PLEASE REFER TO PAYSIMPLE QB WORKPAPER</t>
  </si>
  <si>
    <t>interest</t>
  </si>
  <si>
    <t>payment</t>
  </si>
  <si>
    <t>ending balance</t>
  </si>
  <si>
    <t>Beg Balance</t>
  </si>
  <si>
    <t>Ehsan Sadri</t>
  </si>
  <si>
    <t>AURA ACCOUNTING</t>
  </si>
  <si>
    <t>Ehsan Sadri (partnered with Jack Biehl)</t>
  </si>
  <si>
    <t>Megan Brenner (paired with Sarah Sibia)</t>
  </si>
  <si>
    <t>Carlos</t>
  </si>
  <si>
    <t>Sarah Sibia (paired with Megan Brenner)</t>
  </si>
  <si>
    <t>Marco Vezjak</t>
  </si>
  <si>
    <t>Kyle Dilger (partnered with David and Omar)</t>
  </si>
  <si>
    <t>Split w Ryan</t>
  </si>
  <si>
    <t>Larry Davis</t>
  </si>
  <si>
    <t>3 way split</t>
  </si>
  <si>
    <t>Transaction Report</t>
  </si>
  <si>
    <t>Num</t>
  </si>
  <si>
    <t>Memo/Description</t>
  </si>
  <si>
    <t>Balance</t>
  </si>
  <si>
    <t>TOTAL</t>
  </si>
  <si>
    <t xml:space="preserve">ADP </t>
  </si>
  <si>
    <t>Newport International Boat Show</t>
  </si>
  <si>
    <t>Homebuilders</t>
  </si>
  <si>
    <t>John Tomalsoff</t>
  </si>
  <si>
    <t>Loanmaker</t>
  </si>
  <si>
    <t>Total Payments Made</t>
  </si>
  <si>
    <t>Axopar 37 Outstanding 31 Mar</t>
  </si>
  <si>
    <t>Beneteau Outstanding 31 Mar</t>
  </si>
  <si>
    <t>Axopar 28 Outstanding 31 Mar</t>
  </si>
  <si>
    <t>Remainder - Interest</t>
  </si>
  <si>
    <t>Need statements</t>
  </si>
  <si>
    <t>Assumed for interest - to verify</t>
  </si>
  <si>
    <t>Loan payment</t>
  </si>
  <si>
    <t>Outstanding as of 4/11/25</t>
  </si>
  <si>
    <t>Assumed Interest - to verify</t>
  </si>
  <si>
    <t>Need statement</t>
  </si>
  <si>
    <t>PAYOFF</t>
  </si>
  <si>
    <t>Employer taxes</t>
  </si>
  <si>
    <t>PAID IN APRIL</t>
  </si>
  <si>
    <t>Sarah Sibia</t>
  </si>
  <si>
    <t>Megan Brenner</t>
  </si>
  <si>
    <t>Average SOFR 4.48% + 2.75% based on the written agreement</t>
  </si>
  <si>
    <t>Davis, Larry</t>
  </si>
  <si>
    <t>Bonacci, Joe</t>
  </si>
  <si>
    <t>Dilger, Kyle</t>
  </si>
  <si>
    <t>Chacon, Charles</t>
  </si>
  <si>
    <t>Sarrafzadeh, Majid</t>
  </si>
  <si>
    <t>Short-term business loans:22350 ST - CCJ True, LLC Loan</t>
  </si>
  <si>
    <t>Short-term business loans:22400 ST - CCJ True, LLC Loan (2)</t>
  </si>
  <si>
    <t>Long-term business loans:23350 LT - CCJ True, LLC Loan</t>
  </si>
  <si>
    <t>Long-term business loans:23400 LT - CCJ True, LLC Loan (2)</t>
  </si>
  <si>
    <t>ADP Tax</t>
  </si>
  <si>
    <t>JUNE PETER NOT PAID</t>
  </si>
  <si>
    <t>manual payment to Javier Osores</t>
  </si>
  <si>
    <t>Manual Check # 902 for Preston, Bond</t>
  </si>
  <si>
    <t>GoDaddy Renewal</t>
  </si>
  <si>
    <t>CLIENT NAME:</t>
  </si>
  <si>
    <t>BANK / CC NAME</t>
  </si>
  <si>
    <t>OTHER PLATFORM</t>
  </si>
  <si>
    <t>ACCOUNT  NUMBER</t>
  </si>
  <si>
    <t>ITEM NEEDED</t>
  </si>
  <si>
    <t>ACCESS (Y/N)</t>
  </si>
  <si>
    <t>NOTES</t>
  </si>
  <si>
    <t xml:space="preserve">CONTACT </t>
  </si>
  <si>
    <r>
      <t>ITEMS NEEDED</t>
    </r>
    <r>
      <rPr>
        <b/>
        <sz val="9"/>
        <color theme="1"/>
        <rFont val="Calibri"/>
        <family val="2"/>
        <scheme val="minor"/>
      </rPr>
      <t xml:space="preserve"> (add acct # if needed)</t>
    </r>
  </si>
  <si>
    <t>Carlos Roman &lt;carlos@carefreeboats.com&gt;</t>
  </si>
  <si>
    <t>main contact for month-end questions</t>
  </si>
  <si>
    <t>Peter Yanakiev &lt;peter@carefreeboats.com&gt;</t>
  </si>
  <si>
    <t>for bank and cc statements</t>
  </si>
  <si>
    <t>Bank of America</t>
  </si>
  <si>
    <t>3251-5870-1020</t>
  </si>
  <si>
    <t>Bank Statements</t>
  </si>
  <si>
    <t>Y</t>
  </si>
  <si>
    <t>CCJ True Loan 2</t>
  </si>
  <si>
    <t>PAID IN JULY</t>
  </si>
  <si>
    <t>STATE COMP</t>
  </si>
  <si>
    <t>ADP</t>
  </si>
  <si>
    <t xml:space="preserve">Steve Mcphetridge </t>
  </si>
  <si>
    <t>Roarty, Tim</t>
  </si>
  <si>
    <t>Carefree Newport</t>
  </si>
  <si>
    <t>October 1-31, 2025</t>
  </si>
  <si>
    <t>Transaction date</t>
  </si>
  <si>
    <t>Transaction type</t>
  </si>
  <si>
    <t>Account full name</t>
  </si>
  <si>
    <t>Item split account</t>
  </si>
  <si>
    <t>10/31/2025</t>
  </si>
  <si>
    <t>Journal Entry</t>
  </si>
  <si>
    <t>AURA 739</t>
  </si>
  <si>
    <t/>
  </si>
  <si>
    <t>ADP - Payroll 8.31.25</t>
  </si>
  <si>
    <t>Total for 21300 Due To/From SoCal Nautical</t>
  </si>
  <si>
    <t>ADJUSTMENT</t>
  </si>
  <si>
    <t>EMAIL CONFIRMATION</t>
  </si>
  <si>
    <t>SOCAL</t>
  </si>
  <si>
    <t>CAREFREE</t>
  </si>
  <si>
    <t>First Insurance (Adjustment)</t>
  </si>
  <si>
    <t>ADJUSTMENT WILL BE MADE TO INSURANCE (SEE PREPAID EXPENSE)</t>
  </si>
  <si>
    <t>10/1/25-12/31/25</t>
  </si>
  <si>
    <t>Lopez, Martin</t>
  </si>
  <si>
    <t>Hammerstone, Chris</t>
  </si>
  <si>
    <t>Agency Fees</t>
  </si>
  <si>
    <t>AGENCY FEE</t>
  </si>
  <si>
    <t>1/1/26-12/31-2026</t>
  </si>
  <si>
    <t>paid 12/3/25</t>
  </si>
  <si>
    <t>NO MOVEMENT FOR NOVEMBER</t>
  </si>
  <si>
    <t>CCJ True Loan</t>
  </si>
  <si>
    <t>32000 Shareholder Distributions - CCM Integrated</t>
  </si>
  <si>
    <t>The balance is now a payable - paid this on 12/30/25.</t>
  </si>
  <si>
    <t>Expense prior payroll journal matches premium premium charge of $356.01</t>
  </si>
  <si>
    <t>No sales commission in the master sheet for December</t>
  </si>
  <si>
    <t>ADP - AuraAccounting</t>
  </si>
  <si>
    <t>ADP - SeedCMS (Socal)</t>
  </si>
  <si>
    <t>reversed all ADP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</si>
</sst>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as of&quot;\ mmmm\ dd\ yyyy"/>
    <numFmt numFmtId="169" formatCode="mm/dd/yyyy"/>
    <numFmt numFmtId="170" formatCode="#,##0.00\ _€"/>
    <numFmt numFmtId="171" formatCode="#,##0.000000000000000_);\(#,##0.000000000000000\)"/>
    <numFmt numFmtId="172" formatCode="mmmm\ yyyy"/>
    <numFmt numFmtId="173" formatCode="mm/dd/yy;@"/>
    <numFmt numFmtId="174" formatCode="[$-409]m/d/yy\ h:mm\ AM/PM;@"/>
    <numFmt numFmtId="175" formatCode="mmmm\-yyyy"/>
    <numFmt numFmtId="176" formatCode="[$-409]mmmm\-yy;@"/>
    <numFmt numFmtId="177" formatCode="_(* #,##0_);_(* \(#,##0\);_(* &quot;-&quot;??_);_(@_)"/>
    <numFmt numFmtId="178" formatCode="0.000%"/>
    <numFmt numFmtId="179" formatCode="[$-409]mmm\-yy;@"/>
    <numFmt numFmtId="180" formatCode="#,##0.00;[Red]#,##0.00"/>
    <numFmt numFmtId="181" formatCode="\$#,##0.00"/>
  </numFmts>
  <fonts count="1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i/>
      <u/>
      <sz val="10"/>
      <color theme="0" tint="-0.34998626667073579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Times New Roman"/>
      <family val="1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8"/>
      <name val="Calibri"/>
      <family val="2"/>
    </font>
    <font>
      <sz val="8"/>
      <color rgb="FFFF0000"/>
      <name val="Arial"/>
      <family val="2"/>
    </font>
    <font>
      <sz val="11"/>
      <color indexed="8"/>
      <name val="Calibri"/>
      <family val="2"/>
      <scheme val="minor"/>
    </font>
    <font>
      <sz val="10"/>
      <color indexed="0"/>
      <name val="Arial"/>
      <family val="2"/>
    </font>
    <font>
      <sz val="8"/>
      <color rgb="FF323232"/>
      <name val="Symbol"/>
      <family val="1"/>
      <charset val="2"/>
    </font>
    <font>
      <sz val="10"/>
      <name val="Arial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</font>
    <font>
      <sz val="10"/>
      <color indexed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rgb="FFFF0000"/>
      <name val="Symbol"/>
      <family val="1"/>
      <charset val="2"/>
    </font>
    <font>
      <b/>
      <sz val="8"/>
      <color indexed="8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9"/>
      <color rgb="FF000000"/>
      <name val="Times New Roman"/>
      <family val="1"/>
    </font>
    <font>
      <sz val="12"/>
      <name val="Lucida Sans"/>
      <family val="2"/>
    </font>
    <font>
      <b/>
      <sz val="12"/>
      <name val="Lucida Sans"/>
      <family val="2"/>
    </font>
    <font>
      <i/>
      <sz val="12"/>
      <name val="Lucida Sans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2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i/>
      <sz val="8"/>
      <name val="Lucida Sans"/>
      <family val="2"/>
    </font>
    <font>
      <sz val="10"/>
      <name val="Lucida Sans"/>
      <family val="2"/>
    </font>
    <font>
      <b/>
      <i/>
      <sz val="12"/>
      <name val="Lucida Sans"/>
      <family val="2"/>
    </font>
    <font>
      <b/>
      <sz val="14"/>
      <name val="Lucida Sans"/>
      <family val="2"/>
    </font>
    <font>
      <b/>
      <i/>
      <sz val="14"/>
      <name val="Lucida Sans"/>
      <family val="2"/>
    </font>
    <font>
      <b/>
      <sz val="16"/>
      <color indexed="8"/>
      <name val="Lucida Sans"/>
      <family val="2"/>
    </font>
    <font>
      <b/>
      <i/>
      <sz val="16"/>
      <color indexed="8"/>
      <name val="Lucida Sans"/>
      <family val="2"/>
    </font>
    <font>
      <i/>
      <sz val="8"/>
      <color indexed="8"/>
      <name val="Lucida Sans"/>
      <family val="2"/>
    </font>
    <font>
      <b/>
      <i/>
      <sz val="10"/>
      <color indexed="8"/>
      <name val="Lucida Sans"/>
      <family val="2"/>
    </font>
    <font>
      <sz val="12"/>
      <color indexed="8"/>
      <name val="Lucida Sans"/>
      <family val="2"/>
    </font>
    <font>
      <u/>
      <sz val="12"/>
      <color indexed="12"/>
      <name val="Lucida Sans"/>
      <family val="2"/>
    </font>
    <font>
      <i/>
      <sz val="12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sz val="16"/>
      <name val="Lucida Sans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Lucida Sans"/>
      <family val="2"/>
    </font>
    <font>
      <b/>
      <u/>
      <sz val="18"/>
      <name val="Arial"/>
      <family val="2"/>
    </font>
    <font>
      <u/>
      <sz val="12"/>
      <name val="Arial"/>
      <family val="2"/>
    </font>
    <font>
      <sz val="12"/>
      <color theme="1"/>
      <name val="Arial"/>
      <family val="2"/>
    </font>
    <font>
      <sz val="12"/>
      <color theme="1"/>
      <name val="Lucida Sans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</font>
    <font>
      <b/>
      <u val="singleAccounting"/>
      <sz val="11"/>
      <color theme="1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0" tint="-0.249977111117893"/>
      <name val="Calibri"/>
      <family val="2"/>
      <scheme val="minor"/>
    </font>
    <font>
      <sz val="10"/>
      <color rgb="FF393A3D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8"/>
      <color indexed="8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indexed="8"/>
      <name val="Arial"/>
    </font>
    <font>
      <sz val="8"/>
      <color indexed="8"/>
      <name val="Arial"/>
    </font>
  </fonts>
  <fills count="4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BE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157">
    <xf numFmtId="0" fontId="0" fillId="0" borderId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/>
    <xf numFmtId="167" fontId="10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0" fontId="10" fillId="0" borderId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9" applyNumberFormat="0" applyAlignment="0" applyProtection="0"/>
    <xf numFmtId="0" fontId="32" fillId="8" borderId="10" applyNumberFormat="0" applyAlignment="0" applyProtection="0"/>
    <xf numFmtId="0" fontId="33" fillId="8" borderId="9" applyNumberFormat="0" applyAlignment="0" applyProtection="0"/>
    <xf numFmtId="0" fontId="34" fillId="0" borderId="11" applyNumberFormat="0" applyFill="0" applyAlignment="0" applyProtection="0"/>
    <xf numFmtId="0" fontId="35" fillId="9" borderId="12" applyNumberFormat="0" applyAlignment="0" applyProtection="0"/>
    <xf numFmtId="0" fontId="23" fillId="0" borderId="0" applyNumberFormat="0" applyFill="0" applyBorder="0" applyAlignment="0" applyProtection="0"/>
    <xf numFmtId="0" fontId="2" fillId="10" borderId="13" applyNumberFormat="0" applyFont="0" applyAlignment="0" applyProtection="0"/>
    <xf numFmtId="0" fontId="36" fillId="0" borderId="0" applyNumberFormat="0" applyFill="0" applyBorder="0" applyAlignment="0" applyProtection="0"/>
    <xf numFmtId="0" fontId="3" fillId="0" borderId="14" applyNumberFormat="0" applyFill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0" fontId="19" fillId="0" borderId="0"/>
    <xf numFmtId="0" fontId="19" fillId="0" borderId="0"/>
    <xf numFmtId="0" fontId="19" fillId="0" borderId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37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39" fillId="0" borderId="0"/>
    <xf numFmtId="0" fontId="40" fillId="0" borderId="0">
      <alignment vertical="top"/>
    </xf>
    <xf numFmtId="0" fontId="42" fillId="0" borderId="0"/>
    <xf numFmtId="0" fontId="43" fillId="0" borderId="0" applyNumberFormat="0" applyFill="0" applyBorder="0" applyProtection="0"/>
    <xf numFmtId="0" fontId="44" fillId="0" borderId="0" applyNumberFormat="0" applyFill="0" applyBorder="0" applyAlignment="0" applyProtection="0"/>
    <xf numFmtId="0" fontId="45" fillId="0" borderId="0">
      <alignment vertical="top"/>
    </xf>
    <xf numFmtId="0" fontId="46" fillId="0" borderId="0"/>
    <xf numFmtId="0" fontId="47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19" fillId="0" borderId="0"/>
    <xf numFmtId="0" fontId="40" fillId="0" borderId="0">
      <alignment vertical="top"/>
    </xf>
    <xf numFmtId="0" fontId="19" fillId="0" borderId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43" fillId="0" borderId="0" applyNumberFormat="0" applyFill="0" applyBorder="0" applyProtection="0"/>
    <xf numFmtId="0" fontId="19" fillId="0" borderId="0"/>
    <xf numFmtId="0" fontId="43" fillId="0" borderId="0" applyNumberFormat="0" applyFill="0" applyBorder="0" applyProtection="0"/>
    <xf numFmtId="0" fontId="19" fillId="0" borderId="0"/>
    <xf numFmtId="0" fontId="53" fillId="0" borderId="0" applyNumberFormat="0" applyFill="0" applyBorder="0" applyProtection="0"/>
    <xf numFmtId="0" fontId="55" fillId="0" borderId="0"/>
    <xf numFmtId="0" fontId="55" fillId="0" borderId="0"/>
    <xf numFmtId="0" fontId="75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90" fillId="0" borderId="0"/>
    <xf numFmtId="166" fontId="39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90" fillId="0" borderId="0"/>
    <xf numFmtId="0" fontId="39" fillId="0" borderId="0"/>
    <xf numFmtId="0" fontId="39" fillId="0" borderId="0"/>
    <xf numFmtId="9" fontId="2" fillId="0" borderId="0" applyFont="0" applyFill="0" applyBorder="0" applyAlignment="0" applyProtection="0"/>
    <xf numFmtId="0" fontId="1" fillId="0" borderId="0"/>
    <xf numFmtId="0" fontId="107" fillId="0" borderId="55"/>
    <xf numFmtId="43" fontId="2" fillId="0" borderId="0" applyFont="0" applyFill="0" applyBorder="0" applyAlignment="0" applyProtection="0"/>
  </cellStyleXfs>
  <cellXfs count="445">
    <xf numFmtId="0" fontId="0" fillId="0" borderId="0" xfId="0"/>
    <xf numFmtId="0" fontId="5" fillId="0" borderId="0" xfId="0" applyFont="1"/>
    <xf numFmtId="0" fontId="8" fillId="0" borderId="0" xfId="5" applyFont="1" applyAlignment="1">
      <alignment horizontal="left" vertical="top"/>
    </xf>
    <xf numFmtId="168" fontId="8" fillId="0" borderId="0" xfId="5" applyNumberFormat="1" applyFont="1" applyAlignment="1">
      <alignment horizontal="left" vertical="top"/>
    </xf>
    <xf numFmtId="0" fontId="7" fillId="0" borderId="0" xfId="5" applyAlignment="1">
      <alignment horizontal="left" vertical="top"/>
    </xf>
    <xf numFmtId="0" fontId="9" fillId="0" borderId="0" xfId="5" applyFont="1" applyAlignment="1">
      <alignment horizontal="left" vertical="top"/>
    </xf>
    <xf numFmtId="0" fontId="12" fillId="0" borderId="0" xfId="5" applyFont="1" applyAlignment="1">
      <alignment horizontal="left" vertical="top"/>
    </xf>
    <xf numFmtId="0" fontId="16" fillId="0" borderId="0" xfId="5" applyFont="1" applyAlignment="1">
      <alignment horizontal="left" vertical="top"/>
    </xf>
    <xf numFmtId="0" fontId="14" fillId="0" borderId="0" xfId="5" applyFont="1" applyAlignment="1">
      <alignment horizontal="left" vertical="top" wrapText="1" indent="5"/>
    </xf>
    <xf numFmtId="167" fontId="0" fillId="0" borderId="0" xfId="1" applyFont="1"/>
    <xf numFmtId="165" fontId="0" fillId="0" borderId="0" xfId="0" applyNumberFormat="1"/>
    <xf numFmtId="167" fontId="0" fillId="0" borderId="0" xfId="0" applyNumberFormat="1"/>
    <xf numFmtId="0" fontId="3" fillId="0" borderId="0" xfId="0" applyFont="1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39" fontId="6" fillId="0" borderId="0" xfId="0" applyNumberFormat="1" applyFont="1"/>
    <xf numFmtId="49" fontId="6" fillId="0" borderId="0" xfId="0" applyNumberFormat="1" applyFont="1"/>
    <xf numFmtId="167" fontId="0" fillId="0" borderId="0" xfId="1" applyFont="1" applyFill="1"/>
    <xf numFmtId="0" fontId="0" fillId="0" borderId="0" xfId="0" applyAlignment="1">
      <alignment horizontal="left" vertical="top"/>
    </xf>
    <xf numFmtId="39" fontId="14" fillId="0" borderId="0" xfId="0" applyNumberFormat="1" applyFont="1"/>
    <xf numFmtId="0" fontId="0" fillId="0" borderId="0" xfId="0" applyAlignment="1">
      <alignment horizontal="left" wrapText="1"/>
    </xf>
    <xf numFmtId="167" fontId="7" fillId="0" borderId="0" xfId="5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vertical="top" wrapText="1"/>
    </xf>
    <xf numFmtId="4" fontId="15" fillId="0" borderId="0" xfId="0" applyNumberFormat="1" applyFont="1" applyAlignment="1">
      <alignment vertical="top" shrinkToFit="1"/>
    </xf>
    <xf numFmtId="167" fontId="14" fillId="0" borderId="0" xfId="1" applyFont="1" applyFill="1" applyBorder="1" applyAlignment="1">
      <alignment vertical="top" shrinkToFit="1"/>
    </xf>
    <xf numFmtId="2" fontId="15" fillId="0" borderId="0" xfId="0" applyNumberFormat="1" applyFont="1" applyAlignment="1">
      <alignment vertical="top" shrinkToFit="1"/>
    </xf>
    <xf numFmtId="2" fontId="0" fillId="0" borderId="0" xfId="0" applyNumberFormat="1"/>
    <xf numFmtId="39" fontId="0" fillId="0" borderId="0" xfId="0" applyNumberFormat="1"/>
    <xf numFmtId="171" fontId="0" fillId="0" borderId="0" xfId="0" applyNumberFormat="1"/>
    <xf numFmtId="169" fontId="6" fillId="0" borderId="0" xfId="0" applyNumberFormat="1" applyFont="1"/>
    <xf numFmtId="49" fontId="41" fillId="0" borderId="0" xfId="0" applyNumberFormat="1" applyFont="1" applyAlignment="1">
      <alignment horizontal="centerContinuous"/>
    </xf>
    <xf numFmtId="49" fontId="41" fillId="0" borderId="0" xfId="0" applyNumberFormat="1" applyFont="1" applyAlignment="1">
      <alignment horizontal="center"/>
    </xf>
    <xf numFmtId="2" fontId="14" fillId="0" borderId="0" xfId="0" applyNumberFormat="1" applyFont="1" applyAlignment="1">
      <alignment vertical="top" shrinkToFit="1"/>
    </xf>
    <xf numFmtId="0" fontId="18" fillId="0" borderId="0" xfId="0" applyFont="1" applyAlignment="1">
      <alignment horizontal="left" vertical="top"/>
    </xf>
    <xf numFmtId="167" fontId="38" fillId="0" borderId="0" xfId="1" applyFont="1" applyFill="1" applyBorder="1" applyAlignment="1">
      <alignment vertical="top" shrinkToFit="1"/>
    </xf>
    <xf numFmtId="2" fontId="38" fillId="0" borderId="0" xfId="0" applyNumberFormat="1" applyFont="1" applyAlignment="1">
      <alignment vertical="top" shrinkToFit="1"/>
    </xf>
    <xf numFmtId="0" fontId="23" fillId="0" borderId="0" xfId="0" applyFont="1" applyAlignment="1">
      <alignment horizontal="left" vertical="top"/>
    </xf>
    <xf numFmtId="0" fontId="3" fillId="0" borderId="0" xfId="120" applyFont="1"/>
    <xf numFmtId="0" fontId="2" fillId="0" borderId="0" xfId="120"/>
    <xf numFmtId="2" fontId="2" fillId="0" borderId="0" xfId="120" applyNumberFormat="1"/>
    <xf numFmtId="14" fontId="2" fillId="0" borderId="0" xfId="120" applyNumberFormat="1"/>
    <xf numFmtId="2" fontId="3" fillId="0" borderId="0" xfId="120" applyNumberFormat="1" applyFont="1"/>
    <xf numFmtId="167" fontId="2" fillId="0" borderId="0" xfId="120" applyNumberFormat="1"/>
    <xf numFmtId="167" fontId="0" fillId="0" borderId="0" xfId="121" applyFont="1"/>
    <xf numFmtId="167" fontId="2" fillId="0" borderId="0" xfId="121" applyFont="1" applyFill="1"/>
    <xf numFmtId="0" fontId="51" fillId="0" borderId="0" xfId="0" applyFont="1"/>
    <xf numFmtId="0" fontId="50" fillId="0" borderId="0" xfId="0" applyFont="1"/>
    <xf numFmtId="167" fontId="50" fillId="0" borderId="0" xfId="0" applyNumberFormat="1" applyFont="1"/>
    <xf numFmtId="0" fontId="0" fillId="0" borderId="2" xfId="0" applyBorder="1"/>
    <xf numFmtId="167" fontId="0" fillId="0" borderId="0" xfId="121" applyFont="1" applyFill="1"/>
    <xf numFmtId="14" fontId="0" fillId="33" borderId="0" xfId="0" applyNumberFormat="1" applyFill="1"/>
    <xf numFmtId="167" fontId="0" fillId="33" borderId="0" xfId="1" applyFont="1" applyFill="1"/>
    <xf numFmtId="0" fontId="0" fillId="33" borderId="0" xfId="0" applyFill="1"/>
    <xf numFmtId="14" fontId="2" fillId="33" borderId="0" xfId="120" applyNumberFormat="1" applyFill="1"/>
    <xf numFmtId="49" fontId="6" fillId="33" borderId="0" xfId="0" applyNumberFormat="1" applyFont="1" applyFill="1"/>
    <xf numFmtId="169" fontId="6" fillId="33" borderId="0" xfId="0" applyNumberFormat="1" applyFont="1" applyFill="1"/>
    <xf numFmtId="49" fontId="41" fillId="33" borderId="0" xfId="0" applyNumberFormat="1" applyFont="1" applyFill="1" applyAlignment="1">
      <alignment horizontal="centerContinuous"/>
    </xf>
    <xf numFmtId="39" fontId="6" fillId="33" borderId="0" xfId="0" applyNumberFormat="1" applyFont="1" applyFill="1"/>
    <xf numFmtId="1" fontId="15" fillId="33" borderId="0" xfId="0" applyNumberFormat="1" applyFont="1" applyFill="1" applyAlignment="1">
      <alignment vertical="top" shrinkToFit="1"/>
    </xf>
    <xf numFmtId="167" fontId="14" fillId="33" borderId="0" xfId="1" applyFont="1" applyFill="1" applyAlignment="1">
      <alignment vertical="top" shrinkToFit="1"/>
    </xf>
    <xf numFmtId="39" fontId="14" fillId="33" borderId="0" xfId="0" applyNumberFormat="1" applyFont="1" applyFill="1"/>
    <xf numFmtId="1" fontId="14" fillId="33" borderId="0" xfId="0" applyNumberFormat="1" applyFont="1" applyFill="1" applyAlignment="1">
      <alignment vertical="top" shrinkToFit="1"/>
    </xf>
    <xf numFmtId="0" fontId="14" fillId="33" borderId="0" xfId="0" applyFont="1" applyFill="1" applyAlignment="1">
      <alignment vertical="top" wrapText="1"/>
    </xf>
    <xf numFmtId="49" fontId="38" fillId="33" borderId="0" xfId="0" applyNumberFormat="1" applyFont="1" applyFill="1"/>
    <xf numFmtId="169" fontId="38" fillId="33" borderId="0" xfId="0" applyNumberFormat="1" applyFont="1" applyFill="1"/>
    <xf numFmtId="49" fontId="48" fillId="33" borderId="0" xfId="0" applyNumberFormat="1" applyFont="1" applyFill="1" applyAlignment="1">
      <alignment horizontal="centerContinuous"/>
    </xf>
    <xf numFmtId="39" fontId="38" fillId="33" borderId="0" xfId="0" applyNumberFormat="1" applyFont="1" applyFill="1"/>
    <xf numFmtId="0" fontId="38" fillId="33" borderId="0" xfId="0" applyFont="1" applyFill="1" applyAlignment="1">
      <alignment vertical="top" wrapText="1"/>
    </xf>
    <xf numFmtId="167" fontId="38" fillId="33" borderId="0" xfId="1" applyFont="1" applyFill="1" applyAlignment="1">
      <alignment vertical="top" shrinkToFit="1"/>
    </xf>
    <xf numFmtId="0" fontId="18" fillId="33" borderId="0" xfId="0" applyFont="1" applyFill="1" applyAlignment="1">
      <alignment horizontal="left" vertical="top"/>
    </xf>
    <xf numFmtId="0" fontId="41" fillId="33" borderId="0" xfId="0" applyFont="1" applyFill="1" applyAlignment="1">
      <alignment horizontal="center"/>
    </xf>
    <xf numFmtId="0" fontId="18" fillId="33" borderId="0" xfId="0" applyFont="1" applyFill="1"/>
    <xf numFmtId="0" fontId="54" fillId="0" borderId="0" xfId="5" applyFont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7" fontId="0" fillId="0" borderId="15" xfId="0" applyNumberFormat="1" applyBorder="1"/>
    <xf numFmtId="14" fontId="0" fillId="0" borderId="0" xfId="1" applyNumberFormat="1" applyFont="1" applyFill="1"/>
    <xf numFmtId="0" fontId="0" fillId="0" borderId="0" xfId="1" quotePrefix="1" applyNumberFormat="1" applyFont="1" applyFill="1"/>
    <xf numFmtId="167" fontId="0" fillId="0" borderId="0" xfId="1" quotePrefix="1" applyFont="1" applyFill="1"/>
    <xf numFmtId="0" fontId="50" fillId="0" borderId="0" xfId="0" applyFont="1" applyAlignment="1">
      <alignment horizontal="right"/>
    </xf>
    <xf numFmtId="14" fontId="0" fillId="0" borderId="0" xfId="1" applyNumberFormat="1" applyFont="1"/>
    <xf numFmtId="0" fontId="0" fillId="0" borderId="0" xfId="1" quotePrefix="1" applyNumberFormat="1" applyFont="1"/>
    <xf numFmtId="167" fontId="0" fillId="0" borderId="0" xfId="1" quotePrefix="1" applyFont="1"/>
    <xf numFmtId="4" fontId="56" fillId="0" borderId="0" xfId="136" applyNumberFormat="1" applyFont="1"/>
    <xf numFmtId="4" fontId="57" fillId="0" borderId="0" xfId="136" applyNumberFormat="1" applyFont="1"/>
    <xf numFmtId="4" fontId="56" fillId="0" borderId="0" xfId="136" applyNumberFormat="1" applyFont="1" applyAlignment="1">
      <alignment horizontal="right"/>
    </xf>
    <xf numFmtId="0" fontId="55" fillId="0" borderId="0" xfId="136" applyAlignment="1">
      <alignment horizontal="left"/>
    </xf>
    <xf numFmtId="14" fontId="55" fillId="0" borderId="0" xfId="136" applyNumberFormat="1" applyAlignment="1">
      <alignment horizontal="left"/>
    </xf>
    <xf numFmtId="4" fontId="58" fillId="0" borderId="0" xfId="136" applyNumberFormat="1" applyFont="1"/>
    <xf numFmtId="0" fontId="19" fillId="0" borderId="0" xfId="136" applyFont="1" applyAlignment="1">
      <alignment horizontal="left"/>
    </xf>
    <xf numFmtId="0" fontId="19" fillId="0" borderId="0" xfId="136" applyFont="1"/>
    <xf numFmtId="14" fontId="19" fillId="0" borderId="0" xfId="136" applyNumberFormat="1" applyFont="1" applyAlignment="1">
      <alignment horizontal="left"/>
    </xf>
    <xf numFmtId="4" fontId="19" fillId="0" borderId="0" xfId="136" applyNumberFormat="1" applyFont="1"/>
    <xf numFmtId="14" fontId="59" fillId="0" borderId="0" xfId="136" applyNumberFormat="1" applyFont="1" applyAlignment="1">
      <alignment horizontal="left"/>
    </xf>
    <xf numFmtId="0" fontId="59" fillId="0" borderId="0" xfId="136" applyFont="1"/>
    <xf numFmtId="4" fontId="59" fillId="0" borderId="0" xfId="136" applyNumberFormat="1" applyFont="1"/>
    <xf numFmtId="0" fontId="59" fillId="0" borderId="0" xfId="136" applyFont="1" applyAlignment="1">
      <alignment horizontal="left"/>
    </xf>
    <xf numFmtId="4" fontId="60" fillId="0" borderId="0" xfId="136" applyNumberFormat="1" applyFont="1"/>
    <xf numFmtId="0" fontId="59" fillId="0" borderId="16" xfId="136" applyFont="1" applyBorder="1"/>
    <xf numFmtId="4" fontId="59" fillId="0" borderId="16" xfId="136" applyNumberFormat="1" applyFont="1" applyBorder="1"/>
    <xf numFmtId="0" fontId="59" fillId="0" borderId="16" xfId="136" applyFont="1" applyBorder="1" applyAlignment="1">
      <alignment horizontal="left"/>
    </xf>
    <xf numFmtId="0" fontId="60" fillId="0" borderId="0" xfId="136" applyFont="1"/>
    <xf numFmtId="0" fontId="59" fillId="0" borderId="17" xfId="136" applyFont="1" applyBorder="1" applyAlignment="1">
      <alignment horizontal="left"/>
    </xf>
    <xf numFmtId="0" fontId="59" fillId="0" borderId="17" xfId="136" applyFont="1" applyBorder="1"/>
    <xf numFmtId="0" fontId="59" fillId="0" borderId="2" xfId="136" applyFont="1" applyBorder="1" applyAlignment="1">
      <alignment horizontal="left"/>
    </xf>
    <xf numFmtId="0" fontId="59" fillId="0" borderId="2" xfId="136" applyFont="1" applyBorder="1"/>
    <xf numFmtId="14" fontId="60" fillId="0" borderId="0" xfId="136" applyNumberFormat="1" applyFont="1"/>
    <xf numFmtId="0" fontId="59" fillId="0" borderId="18" xfId="136" applyFont="1" applyBorder="1" applyAlignment="1">
      <alignment horizontal="left"/>
    </xf>
    <xf numFmtId="0" fontId="59" fillId="0" borderId="18" xfId="136" applyFont="1" applyBorder="1"/>
    <xf numFmtId="4" fontId="60" fillId="0" borderId="0" xfId="136" applyNumberFormat="1" applyFont="1" applyAlignment="1">
      <alignment vertical="top"/>
    </xf>
    <xf numFmtId="4" fontId="61" fillId="0" borderId="0" xfId="136" applyNumberFormat="1" applyFont="1" applyAlignment="1">
      <alignment vertical="top"/>
    </xf>
    <xf numFmtId="0" fontId="59" fillId="0" borderId="21" xfId="136" applyFont="1" applyBorder="1" applyAlignment="1">
      <alignment horizontal="left" vertical="top"/>
    </xf>
    <xf numFmtId="0" fontId="59" fillId="0" borderId="22" xfId="136" applyFont="1" applyBorder="1" applyAlignment="1">
      <alignment horizontal="center" vertical="top"/>
    </xf>
    <xf numFmtId="14" fontId="59" fillId="0" borderId="0" xfId="136" applyNumberFormat="1" applyFont="1" applyAlignment="1">
      <alignment horizontal="left" vertical="top"/>
    </xf>
    <xf numFmtId="0" fontId="59" fillId="0" borderId="23" xfId="136" applyFont="1" applyBorder="1" applyAlignment="1">
      <alignment horizontal="left" vertical="top"/>
    </xf>
    <xf numFmtId="0" fontId="59" fillId="0" borderId="24" xfId="136" applyFont="1" applyBorder="1" applyAlignment="1">
      <alignment horizontal="center" vertical="top"/>
    </xf>
    <xf numFmtId="4" fontId="62" fillId="0" borderId="0" xfId="136" applyNumberFormat="1" applyFont="1" applyAlignment="1">
      <alignment vertical="top"/>
    </xf>
    <xf numFmtId="4" fontId="63" fillId="0" borderId="19" xfId="136" applyNumberFormat="1" applyFont="1" applyBorder="1" applyAlignment="1">
      <alignment horizontal="left" vertical="top" wrapText="1"/>
    </xf>
    <xf numFmtId="4" fontId="63" fillId="0" borderId="0" xfId="136" applyNumberFormat="1" applyFont="1" applyAlignment="1">
      <alignment horizontal="left" vertical="top" wrapText="1"/>
    </xf>
    <xf numFmtId="4" fontId="63" fillId="0" borderId="20" xfId="136" applyNumberFormat="1" applyFont="1" applyBorder="1" applyAlignment="1">
      <alignment horizontal="left" vertical="top" wrapText="1"/>
    </xf>
    <xf numFmtId="0" fontId="63" fillId="0" borderId="23" xfId="136" applyFont="1" applyBorder="1" applyAlignment="1">
      <alignment horizontal="left" vertical="top"/>
    </xf>
    <xf numFmtId="0" fontId="63" fillId="0" borderId="24" xfId="136" applyFont="1" applyBorder="1" applyAlignment="1">
      <alignment horizontal="center" vertical="top"/>
    </xf>
    <xf numFmtId="14" fontId="63" fillId="0" borderId="0" xfId="136" applyNumberFormat="1" applyFont="1" applyAlignment="1">
      <alignment horizontal="left" vertical="top"/>
    </xf>
    <xf numFmtId="4" fontId="63" fillId="0" borderId="0" xfId="137" applyNumberFormat="1" applyFont="1" applyAlignment="1">
      <alignment wrapText="1"/>
    </xf>
    <xf numFmtId="0" fontId="63" fillId="0" borderId="23" xfId="137" applyFont="1" applyBorder="1" applyAlignment="1">
      <alignment horizontal="left" vertical="top"/>
    </xf>
    <xf numFmtId="0" fontId="63" fillId="0" borderId="23" xfId="136" applyFont="1" applyBorder="1" applyAlignment="1">
      <alignment horizontal="left" vertical="top" wrapText="1"/>
    </xf>
    <xf numFmtId="0" fontId="60" fillId="0" borderId="25" xfId="136" applyFont="1" applyBorder="1" applyAlignment="1">
      <alignment horizontal="centerContinuous"/>
    </xf>
    <xf numFmtId="0" fontId="60" fillId="0" borderId="26" xfId="136" applyFont="1" applyBorder="1" applyAlignment="1">
      <alignment horizontal="centerContinuous"/>
    </xf>
    <xf numFmtId="0" fontId="60" fillId="0" borderId="27" xfId="136" applyFont="1" applyBorder="1" applyAlignment="1">
      <alignment horizontal="centerContinuous"/>
    </xf>
    <xf numFmtId="0" fontId="60" fillId="0" borderId="28" xfId="136" applyFont="1" applyBorder="1" applyAlignment="1">
      <alignment horizontal="center"/>
    </xf>
    <xf numFmtId="0" fontId="60" fillId="0" borderId="28" xfId="136" applyFont="1" applyBorder="1" applyAlignment="1">
      <alignment horizontal="left"/>
    </xf>
    <xf numFmtId="0" fontId="60" fillId="0" borderId="0" xfId="136" applyFont="1" applyAlignment="1">
      <alignment horizontal="left"/>
    </xf>
    <xf numFmtId="14" fontId="60" fillId="0" borderId="0" xfId="136" applyNumberFormat="1" applyFont="1" applyAlignment="1">
      <alignment horizontal="left"/>
    </xf>
    <xf numFmtId="0" fontId="64" fillId="0" borderId="0" xfId="136" applyFont="1"/>
    <xf numFmtId="0" fontId="55" fillId="0" borderId="0" xfId="136"/>
    <xf numFmtId="0" fontId="55" fillId="0" borderId="0" xfId="136" applyAlignment="1">
      <alignment horizontal="center"/>
    </xf>
    <xf numFmtId="0" fontId="55" fillId="0" borderId="29" xfId="136" applyBorder="1"/>
    <xf numFmtId="0" fontId="55" fillId="0" borderId="29" xfId="136" applyBorder="1" applyAlignment="1">
      <alignment horizontal="center"/>
    </xf>
    <xf numFmtId="0" fontId="65" fillId="0" borderId="29" xfId="136" applyFont="1" applyBorder="1" applyAlignment="1">
      <alignment horizontal="left"/>
    </xf>
    <xf numFmtId="0" fontId="67" fillId="0" borderId="0" xfId="136" applyFont="1"/>
    <xf numFmtId="172" fontId="68" fillId="0" borderId="0" xfId="136" applyNumberFormat="1" applyFont="1" applyAlignment="1">
      <alignment horizontal="left"/>
    </xf>
    <xf numFmtId="0" fontId="68" fillId="0" borderId="0" xfId="136" applyFont="1"/>
    <xf numFmtId="0" fontId="69" fillId="0" borderId="0" xfId="136" applyFont="1"/>
    <xf numFmtId="0" fontId="55" fillId="0" borderId="0" xfId="136" applyAlignment="1">
      <alignment vertical="center"/>
    </xf>
    <xf numFmtId="0" fontId="55" fillId="0" borderId="0" xfId="136" applyAlignment="1">
      <alignment vertical="top"/>
    </xf>
    <xf numFmtId="0" fontId="72" fillId="0" borderId="0" xfId="136" applyFont="1" applyAlignment="1">
      <alignment horizontal="center" vertical="top"/>
    </xf>
    <xf numFmtId="0" fontId="55" fillId="0" borderId="30" xfId="136" applyBorder="1"/>
    <xf numFmtId="0" fontId="73" fillId="0" borderId="0" xfId="136" applyFont="1" applyAlignment="1">
      <alignment horizontal="right"/>
    </xf>
    <xf numFmtId="173" fontId="74" fillId="0" borderId="31" xfId="136" applyNumberFormat="1" applyFont="1" applyBorder="1" applyAlignment="1">
      <alignment horizontal="center"/>
    </xf>
    <xf numFmtId="14" fontId="74" fillId="0" borderId="31" xfId="136" applyNumberFormat="1" applyFont="1" applyBorder="1" applyAlignment="1">
      <alignment horizontal="center"/>
    </xf>
    <xf numFmtId="0" fontId="75" fillId="0" borderId="0" xfId="138" applyFill="1" applyAlignment="1" applyProtection="1"/>
    <xf numFmtId="0" fontId="59" fillId="0" borderId="34" xfId="136" applyFont="1" applyBorder="1"/>
    <xf numFmtId="0" fontId="59" fillId="0" borderId="1" xfId="136" applyFont="1" applyBorder="1"/>
    <xf numFmtId="0" fontId="76" fillId="0" borderId="35" xfId="136" applyFont="1" applyBorder="1"/>
    <xf numFmtId="0" fontId="59" fillId="0" borderId="36" xfId="136" applyFont="1" applyBorder="1"/>
    <xf numFmtId="0" fontId="59" fillId="0" borderId="37" xfId="136" applyFont="1" applyBorder="1"/>
    <xf numFmtId="0" fontId="77" fillId="0" borderId="37" xfId="136" applyFont="1" applyBorder="1"/>
    <xf numFmtId="0" fontId="78" fillId="0" borderId="0" xfId="136" applyFont="1"/>
    <xf numFmtId="0" fontId="78" fillId="0" borderId="36" xfId="136" applyFont="1" applyBorder="1"/>
    <xf numFmtId="0" fontId="78" fillId="0" borderId="38" xfId="136" applyFont="1" applyBorder="1"/>
    <xf numFmtId="0" fontId="79" fillId="0" borderId="0" xfId="136" applyFont="1"/>
    <xf numFmtId="0" fontId="78" fillId="0" borderId="37" xfId="136" applyFont="1" applyBorder="1"/>
    <xf numFmtId="0" fontId="78" fillId="0" borderId="0" xfId="136" applyFont="1" applyAlignment="1">
      <alignment horizontal="center"/>
    </xf>
    <xf numFmtId="0" fontId="80" fillId="0" borderId="0" xfId="136" applyFont="1"/>
    <xf numFmtId="0" fontId="80" fillId="0" borderId="36" xfId="136" applyFont="1" applyBorder="1"/>
    <xf numFmtId="0" fontId="77" fillId="0" borderId="0" xfId="136" applyFont="1" applyAlignment="1">
      <alignment horizontal="center"/>
    </xf>
    <xf numFmtId="0" fontId="81" fillId="0" borderId="0" xfId="136" applyFont="1" applyAlignment="1">
      <alignment horizontal="center"/>
    </xf>
    <xf numFmtId="0" fontId="82" fillId="0" borderId="37" xfId="136" applyFont="1" applyBorder="1"/>
    <xf numFmtId="0" fontId="55" fillId="0" borderId="36" xfId="136" applyBorder="1"/>
    <xf numFmtId="0" fontId="79" fillId="0" borderId="36" xfId="136" applyFont="1" applyBorder="1"/>
    <xf numFmtId="0" fontId="79" fillId="0" borderId="38" xfId="136" applyFont="1" applyBorder="1"/>
    <xf numFmtId="0" fontId="79" fillId="0" borderId="23" xfId="136" applyFont="1" applyBorder="1"/>
    <xf numFmtId="0" fontId="79" fillId="0" borderId="17" xfId="136" applyFont="1" applyBorder="1"/>
    <xf numFmtId="14" fontId="79" fillId="0" borderId="39" xfId="136" applyNumberFormat="1" applyFont="1" applyBorder="1" applyAlignment="1">
      <alignment horizontal="center"/>
    </xf>
    <xf numFmtId="0" fontId="79" fillId="0" borderId="39" xfId="136" applyFont="1" applyBorder="1" applyAlignment="1">
      <alignment horizontal="center"/>
    </xf>
    <xf numFmtId="14" fontId="79" fillId="0" borderId="38" xfId="136" applyNumberFormat="1" applyFont="1" applyBorder="1" applyAlignment="1">
      <alignment horizontal="center"/>
    </xf>
    <xf numFmtId="0" fontId="79" fillId="0" borderId="23" xfId="136" applyFont="1" applyBorder="1" applyAlignment="1">
      <alignment horizontal="center"/>
    </xf>
    <xf numFmtId="14" fontId="78" fillId="0" borderId="38" xfId="136" applyNumberFormat="1" applyFont="1" applyBorder="1" applyAlignment="1">
      <alignment horizontal="center"/>
    </xf>
    <xf numFmtId="0" fontId="77" fillId="0" borderId="36" xfId="136" applyFont="1" applyBorder="1" applyAlignment="1">
      <alignment horizontal="center"/>
    </xf>
    <xf numFmtId="0" fontId="80" fillId="0" borderId="37" xfId="136" applyFont="1" applyBorder="1"/>
    <xf numFmtId="0" fontId="84" fillId="0" borderId="0" xfId="136" applyFont="1" applyAlignment="1">
      <alignment horizontal="centerContinuous"/>
    </xf>
    <xf numFmtId="0" fontId="85" fillId="0" borderId="0" xfId="136" applyFont="1"/>
    <xf numFmtId="0" fontId="86" fillId="0" borderId="2" xfId="136" applyFont="1" applyBorder="1"/>
    <xf numFmtId="175" fontId="87" fillId="0" borderId="2" xfId="136" applyNumberFormat="1" applyFont="1" applyBorder="1" applyAlignment="1">
      <alignment horizontal="center"/>
    </xf>
    <xf numFmtId="176" fontId="60" fillId="0" borderId="0" xfId="136" applyNumberFormat="1" applyFont="1" applyAlignment="1">
      <alignment horizontal="center"/>
    </xf>
    <xf numFmtId="0" fontId="86" fillId="0" borderId="0" xfId="136" applyFont="1"/>
    <xf numFmtId="0" fontId="85" fillId="0" borderId="2" xfId="136" applyFont="1" applyBorder="1" applyAlignment="1">
      <alignment horizontal="centerContinuous"/>
    </xf>
    <xf numFmtId="0" fontId="87" fillId="0" borderId="2" xfId="136" applyFont="1" applyBorder="1"/>
    <xf numFmtId="0" fontId="59" fillId="0" borderId="40" xfId="136" applyFont="1" applyBorder="1"/>
    <xf numFmtId="0" fontId="59" fillId="0" borderId="0" xfId="136" applyFont="1" applyAlignment="1">
      <alignment horizontal="center"/>
    </xf>
    <xf numFmtId="0" fontId="88" fillId="0" borderId="0" xfId="136" applyFont="1" applyAlignment="1">
      <alignment horizontal="center"/>
    </xf>
    <xf numFmtId="0" fontId="88" fillId="0" borderId="41" xfId="136" applyFont="1" applyBorder="1" applyAlignment="1">
      <alignment horizontal="center"/>
    </xf>
    <xf numFmtId="167" fontId="50" fillId="0" borderId="0" xfId="1" quotePrefix="1" applyFont="1"/>
    <xf numFmtId="167" fontId="0" fillId="36" borderId="0" xfId="1" applyFont="1" applyFill="1"/>
    <xf numFmtId="14" fontId="0" fillId="36" borderId="0" xfId="1" applyNumberFormat="1" applyFont="1" applyFill="1"/>
    <xf numFmtId="0" fontId="2" fillId="36" borderId="0" xfId="120" applyFill="1"/>
    <xf numFmtId="14" fontId="2" fillId="36" borderId="0" xfId="120" applyNumberFormat="1" applyFill="1"/>
    <xf numFmtId="167" fontId="2" fillId="0" borderId="0" xfId="121" applyFill="1"/>
    <xf numFmtId="167" fontId="2" fillId="36" borderId="0" xfId="121" applyFill="1"/>
    <xf numFmtId="2" fontId="2" fillId="36" borderId="0" xfId="120" applyNumberFormat="1" applyFill="1"/>
    <xf numFmtId="167" fontId="2" fillId="36" borderId="0" xfId="121" applyFont="1" applyFill="1"/>
    <xf numFmtId="167" fontId="2" fillId="36" borderId="0" xfId="120" applyNumberFormat="1" applyFill="1"/>
    <xf numFmtId="2" fontId="0" fillId="0" borderId="0" xfId="121" applyNumberFormat="1" applyFont="1" applyFill="1"/>
    <xf numFmtId="167" fontId="0" fillId="36" borderId="0" xfId="121" applyFont="1" applyFill="1"/>
    <xf numFmtId="0" fontId="18" fillId="0" borderId="0" xfId="120" applyFont="1"/>
    <xf numFmtId="167" fontId="0" fillId="36" borderId="0" xfId="0" applyNumberFormat="1" applyFill="1"/>
    <xf numFmtId="0" fontId="0" fillId="36" borderId="0" xfId="0" applyFill="1"/>
    <xf numFmtId="166" fontId="0" fillId="0" borderId="4" xfId="2" applyFont="1" applyBorder="1"/>
    <xf numFmtId="177" fontId="0" fillId="0" borderId="0" xfId="0" applyNumberFormat="1"/>
    <xf numFmtId="167" fontId="0" fillId="35" borderId="0" xfId="1" applyFont="1" applyFill="1"/>
    <xf numFmtId="177" fontId="0" fillId="0" borderId="0" xfId="1" applyNumberFormat="1" applyFont="1"/>
    <xf numFmtId="167" fontId="91" fillId="0" borderId="0" xfId="0" applyNumberFormat="1" applyFont="1"/>
    <xf numFmtId="167" fontId="50" fillId="35" borderId="0" xfId="0" applyNumberFormat="1" applyFont="1" applyFill="1"/>
    <xf numFmtId="0" fontId="0" fillId="0" borderId="0" xfId="0" applyAlignment="1">
      <alignment horizontal="right"/>
    </xf>
    <xf numFmtId="167" fontId="0" fillId="0" borderId="0" xfId="139" applyFont="1" applyFill="1"/>
    <xf numFmtId="0" fontId="2" fillId="0" borderId="0" xfId="140"/>
    <xf numFmtId="10" fontId="2" fillId="0" borderId="0" xfId="140" applyNumberFormat="1"/>
    <xf numFmtId="165" fontId="2" fillId="0" borderId="0" xfId="140" applyNumberFormat="1"/>
    <xf numFmtId="178" fontId="0" fillId="0" borderId="0" xfId="141" applyNumberFormat="1" applyFont="1" applyFill="1"/>
    <xf numFmtId="0" fontId="90" fillId="0" borderId="0" xfId="142"/>
    <xf numFmtId="10" fontId="2" fillId="0" borderId="0" xfId="140" applyNumberFormat="1" applyAlignment="1">
      <alignment horizontal="left"/>
    </xf>
    <xf numFmtId="0" fontId="3" fillId="0" borderId="0" xfId="142" applyFont="1"/>
    <xf numFmtId="167" fontId="90" fillId="0" borderId="0" xfId="142" applyNumberFormat="1"/>
    <xf numFmtId="167" fontId="2" fillId="0" borderId="0" xfId="140" applyNumberFormat="1"/>
    <xf numFmtId="167" fontId="90" fillId="0" borderId="2" xfId="142" applyNumberFormat="1" applyBorder="1"/>
    <xf numFmtId="0" fontId="2" fillId="0" borderId="0" xfId="140" applyAlignment="1">
      <alignment horizontal="left"/>
    </xf>
    <xf numFmtId="167" fontId="3" fillId="0" borderId="0" xfId="139" applyFont="1"/>
    <xf numFmtId="167" fontId="2" fillId="0" borderId="0" xfId="140" applyNumberFormat="1" applyAlignment="1">
      <alignment horizontal="center"/>
    </xf>
    <xf numFmtId="0" fontId="92" fillId="0" borderId="0" xfId="142" applyFont="1"/>
    <xf numFmtId="167" fontId="92" fillId="0" borderId="0" xfId="139" applyFont="1"/>
    <xf numFmtId="14" fontId="2" fillId="36" borderId="0" xfId="140" applyNumberFormat="1" applyFill="1" applyAlignment="1">
      <alignment horizontal="left"/>
    </xf>
    <xf numFmtId="0" fontId="2" fillId="36" borderId="0" xfId="140" applyFill="1" applyAlignment="1">
      <alignment horizontal="left"/>
    </xf>
    <xf numFmtId="167" fontId="2" fillId="36" borderId="0" xfId="140" applyNumberFormat="1" applyFill="1" applyAlignment="1">
      <alignment horizontal="center"/>
    </xf>
    <xf numFmtId="167" fontId="2" fillId="36" borderId="0" xfId="140" applyNumberFormat="1" applyFill="1"/>
    <xf numFmtId="165" fontId="2" fillId="36" borderId="0" xfId="140" applyNumberFormat="1" applyFill="1" applyAlignment="1">
      <alignment horizontal="center"/>
    </xf>
    <xf numFmtId="14" fontId="2" fillId="0" borderId="0" xfId="140" applyNumberFormat="1" applyAlignment="1">
      <alignment horizontal="left"/>
    </xf>
    <xf numFmtId="165" fontId="2" fillId="0" borderId="0" xfId="140" applyNumberFormat="1" applyAlignment="1">
      <alignment horizontal="center"/>
    </xf>
    <xf numFmtId="165" fontId="2" fillId="36" borderId="0" xfId="140" applyNumberFormat="1" applyFill="1"/>
    <xf numFmtId="10" fontId="0" fillId="0" borderId="0" xfId="141" applyNumberFormat="1" applyFont="1" applyFill="1"/>
    <xf numFmtId="167" fontId="3" fillId="0" borderId="0" xfId="1" applyFont="1" applyAlignment="1">
      <alignment horizontal="center"/>
    </xf>
    <xf numFmtId="179" fontId="3" fillId="0" borderId="0" xfId="0" applyNumberFormat="1" applyFont="1" applyAlignment="1">
      <alignment horizontal="center"/>
    </xf>
    <xf numFmtId="0" fontId="93" fillId="0" borderId="0" xfId="0" applyFont="1"/>
    <xf numFmtId="14" fontId="0" fillId="37" borderId="0" xfId="0" applyNumberFormat="1" applyFill="1"/>
    <xf numFmtId="0" fontId="0" fillId="37" borderId="0" xfId="0" applyFill="1"/>
    <xf numFmtId="167" fontId="0" fillId="37" borderId="0" xfId="1" applyFont="1" applyFill="1"/>
    <xf numFmtId="167" fontId="0" fillId="0" borderId="4" xfId="1" applyFont="1" applyBorder="1"/>
    <xf numFmtId="167" fontId="0" fillId="0" borderId="44" xfId="0" applyNumberFormat="1" applyBorder="1"/>
    <xf numFmtId="166" fontId="19" fillId="0" borderId="0" xfId="143" applyFont="1" applyFill="1" applyBorder="1"/>
    <xf numFmtId="167" fontId="19" fillId="0" borderId="4" xfId="1" applyFont="1" applyFill="1" applyBorder="1"/>
    <xf numFmtId="49" fontId="94" fillId="0" borderId="0" xfId="0" applyNumberFormat="1" applyFont="1" applyAlignment="1">
      <alignment horizontal="centerContinuous"/>
    </xf>
    <xf numFmtId="0" fontId="94" fillId="34" borderId="0" xfId="0" applyFont="1" applyFill="1"/>
    <xf numFmtId="167" fontId="94" fillId="34" borderId="0" xfId="0" applyNumberFormat="1" applyFont="1" applyFill="1"/>
    <xf numFmtId="0" fontId="94" fillId="0" borderId="0" xfId="0" applyFont="1"/>
    <xf numFmtId="39" fontId="94" fillId="0" borderId="0" xfId="0" applyNumberFormat="1" applyFont="1"/>
    <xf numFmtId="14" fontId="95" fillId="33" borderId="0" xfId="0" applyNumberFormat="1" applyFont="1" applyFill="1"/>
    <xf numFmtId="0" fontId="94" fillId="33" borderId="0" xfId="0" applyFont="1" applyFill="1"/>
    <xf numFmtId="166" fontId="0" fillId="0" borderId="44" xfId="2" applyFont="1" applyBorder="1"/>
    <xf numFmtId="49" fontId="95" fillId="0" borderId="0" xfId="0" applyNumberFormat="1" applyFont="1" applyAlignment="1">
      <alignment horizontal="center"/>
    </xf>
    <xf numFmtId="49" fontId="94" fillId="0" borderId="5" xfId="0" applyNumberFormat="1" applyFont="1" applyBorder="1" applyAlignment="1">
      <alignment horizontal="center"/>
    </xf>
    <xf numFmtId="49" fontId="95" fillId="0" borderId="0" xfId="0" applyNumberFormat="1" applyFont="1"/>
    <xf numFmtId="0" fontId="95" fillId="33" borderId="2" xfId="0" applyFont="1" applyFill="1" applyBorder="1" applyAlignment="1">
      <alignment horizontal="center" wrapText="1"/>
    </xf>
    <xf numFmtId="39" fontId="94" fillId="34" borderId="0" xfId="0" applyNumberFormat="1" applyFont="1" applyFill="1"/>
    <xf numFmtId="170" fontId="94" fillId="33" borderId="0" xfId="0" applyNumberFormat="1" applyFont="1" applyFill="1" applyAlignment="1">
      <alignment wrapText="1"/>
    </xf>
    <xf numFmtId="167" fontId="94" fillId="34" borderId="0" xfId="1" applyFont="1" applyFill="1" applyAlignment="1">
      <alignment horizontal="center"/>
    </xf>
    <xf numFmtId="0" fontId="95" fillId="0" borderId="0" xfId="0" applyFont="1"/>
    <xf numFmtId="14" fontId="18" fillId="36" borderId="0" xfId="46" applyNumberFormat="1" applyFont="1" applyFill="1"/>
    <xf numFmtId="167" fontId="18" fillId="36" borderId="0" xfId="46" applyNumberFormat="1" applyFont="1" applyFill="1"/>
    <xf numFmtId="0" fontId="96" fillId="0" borderId="0" xfId="0" applyFont="1"/>
    <xf numFmtId="14" fontId="18" fillId="0" borderId="0" xfId="46" applyNumberFormat="1" applyFont="1" applyFill="1"/>
    <xf numFmtId="14" fontId="3" fillId="0" borderId="0" xfId="0" applyNumberFormat="1" applyFont="1"/>
    <xf numFmtId="167" fontId="0" fillId="0" borderId="2" xfId="0" applyNumberFormat="1" applyBorder="1"/>
    <xf numFmtId="0" fontId="92" fillId="0" borderId="0" xfId="0" applyFont="1"/>
    <xf numFmtId="0" fontId="23" fillId="0" borderId="0" xfId="140" applyFont="1"/>
    <xf numFmtId="0" fontId="23" fillId="0" borderId="0" xfId="0" applyFont="1"/>
    <xf numFmtId="170" fontId="97" fillId="33" borderId="0" xfId="0" applyNumberFormat="1" applyFont="1" applyFill="1" applyAlignment="1">
      <alignment wrapText="1"/>
    </xf>
    <xf numFmtId="0" fontId="95" fillId="33" borderId="0" xfId="0" applyFont="1" applyFill="1" applyAlignment="1">
      <alignment horizontal="center" wrapText="1"/>
    </xf>
    <xf numFmtId="167" fontId="3" fillId="0" borderId="0" xfId="1" applyFont="1"/>
    <xf numFmtId="17" fontId="3" fillId="0" borderId="0" xfId="0" applyNumberFormat="1" applyFont="1"/>
    <xf numFmtId="166" fontId="0" fillId="0" borderId="0" xfId="2" applyFont="1"/>
    <xf numFmtId="167" fontId="0" fillId="0" borderId="43" xfId="1" applyFont="1" applyBorder="1"/>
    <xf numFmtId="167" fontId="0" fillId="0" borderId="43" xfId="1" applyFont="1" applyFill="1" applyBorder="1"/>
    <xf numFmtId="166" fontId="2" fillId="36" borderId="0" xfId="2" applyFill="1" applyAlignment="1">
      <alignment horizontal="center"/>
    </xf>
    <xf numFmtId="167" fontId="0" fillId="39" borderId="0" xfId="1" applyFont="1" applyFill="1"/>
    <xf numFmtId="167" fontId="0" fillId="38" borderId="0" xfId="1" applyFont="1" applyFill="1"/>
    <xf numFmtId="0" fontId="98" fillId="0" borderId="0" xfId="0" applyFont="1"/>
    <xf numFmtId="167" fontId="98" fillId="0" borderId="0" xfId="1" applyFont="1"/>
    <xf numFmtId="9" fontId="98" fillId="0" borderId="0" xfId="0" applyNumberFormat="1" applyFont="1"/>
    <xf numFmtId="167" fontId="98" fillId="0" borderId="0" xfId="0" applyNumberFormat="1" applyFont="1"/>
    <xf numFmtId="170" fontId="97" fillId="33" borderId="0" xfId="0" applyNumberFormat="1" applyFont="1" applyFill="1" applyAlignment="1">
      <alignment horizontal="right" wrapText="1"/>
    </xf>
    <xf numFmtId="10" fontId="0" fillId="0" borderId="0" xfId="153" applyNumberFormat="1" applyFont="1"/>
    <xf numFmtId="167" fontId="3" fillId="0" borderId="0" xfId="1" applyFont="1" applyFill="1" applyAlignment="1">
      <alignment horizontal="center" wrapText="1"/>
    </xf>
    <xf numFmtId="4" fontId="99" fillId="0" borderId="0" xfId="0" applyNumberFormat="1" applyFont="1"/>
    <xf numFmtId="165" fontId="99" fillId="0" borderId="0" xfId="0" applyNumberFormat="1" applyFont="1"/>
    <xf numFmtId="9" fontId="0" fillId="0" borderId="0" xfId="153" applyFont="1"/>
    <xf numFmtId="170" fontId="97" fillId="0" borderId="0" xfId="0" applyNumberFormat="1" applyFont="1" applyAlignment="1">
      <alignment horizontal="right" wrapText="1"/>
    </xf>
    <xf numFmtId="170" fontId="97" fillId="0" borderId="0" xfId="0" applyNumberFormat="1" applyFont="1" applyAlignment="1">
      <alignment wrapText="1"/>
    </xf>
    <xf numFmtId="14" fontId="100" fillId="0" borderId="0" xfId="0" applyNumberFormat="1" applyFont="1" applyAlignment="1">
      <alignment horizontal="right"/>
    </xf>
    <xf numFmtId="0" fontId="100" fillId="0" borderId="0" xfId="0" applyFont="1"/>
    <xf numFmtId="165" fontId="100" fillId="0" borderId="0" xfId="0" applyNumberFormat="1" applyFont="1" applyAlignment="1">
      <alignment horizontal="right"/>
    </xf>
    <xf numFmtId="10" fontId="100" fillId="0" borderId="0" xfId="0" applyNumberFormat="1" applyFont="1" applyAlignment="1">
      <alignment horizontal="right"/>
    </xf>
    <xf numFmtId="9" fontId="100" fillId="0" borderId="0" xfId="0" applyNumberFormat="1" applyFont="1" applyAlignment="1">
      <alignment horizontal="right"/>
    </xf>
    <xf numFmtId="0" fontId="100" fillId="0" borderId="0" xfId="0" applyFont="1" applyAlignment="1">
      <alignment horizontal="right"/>
    </xf>
    <xf numFmtId="16" fontId="100" fillId="0" borderId="0" xfId="0" applyNumberFormat="1" applyFont="1" applyAlignment="1">
      <alignment horizontal="right"/>
    </xf>
    <xf numFmtId="14" fontId="100" fillId="40" borderId="0" xfId="0" applyNumberFormat="1" applyFont="1" applyFill="1" applyAlignment="1">
      <alignment horizontal="right"/>
    </xf>
    <xf numFmtId="0" fontId="100" fillId="40" borderId="0" xfId="0" applyFont="1" applyFill="1"/>
    <xf numFmtId="165" fontId="100" fillId="40" borderId="0" xfId="0" applyNumberFormat="1" applyFont="1" applyFill="1" applyAlignment="1">
      <alignment horizontal="right"/>
    </xf>
    <xf numFmtId="17" fontId="100" fillId="40" borderId="0" xfId="0" applyNumberFormat="1" applyFont="1" applyFill="1" applyAlignment="1">
      <alignment horizontal="right"/>
    </xf>
    <xf numFmtId="0" fontId="101" fillId="41" borderId="45" xfId="0" applyFont="1" applyFill="1" applyBorder="1" applyAlignment="1">
      <alignment horizontal="center" wrapText="1"/>
    </xf>
    <xf numFmtId="0" fontId="101" fillId="41" borderId="46" xfId="0" applyFont="1" applyFill="1" applyBorder="1" applyAlignment="1">
      <alignment horizontal="center" wrapText="1"/>
    </xf>
    <xf numFmtId="0" fontId="101" fillId="41" borderId="47" xfId="0" applyFont="1" applyFill="1" applyBorder="1" applyAlignment="1">
      <alignment horizontal="center" wrapText="1"/>
    </xf>
    <xf numFmtId="0" fontId="101" fillId="41" borderId="4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3" fontId="0" fillId="0" borderId="0" xfId="0" applyNumberFormat="1"/>
    <xf numFmtId="167" fontId="3" fillId="0" borderId="0" xfId="0" applyNumberFormat="1" applyFont="1"/>
    <xf numFmtId="0" fontId="0" fillId="0" borderId="48" xfId="0" applyBorder="1"/>
    <xf numFmtId="167" fontId="0" fillId="0" borderId="18" xfId="1" applyFont="1" applyBorder="1"/>
    <xf numFmtId="167" fontId="0" fillId="0" borderId="49" xfId="1" applyFont="1" applyBorder="1"/>
    <xf numFmtId="167" fontId="3" fillId="36" borderId="0" xfId="1" applyFont="1" applyFill="1" applyBorder="1" applyAlignment="1">
      <alignment horizontal="center" wrapText="1"/>
    </xf>
    <xf numFmtId="167" fontId="0" fillId="0" borderId="48" xfId="1" applyFont="1" applyBorder="1"/>
    <xf numFmtId="0" fontId="0" fillId="0" borderId="18" xfId="0" applyBorder="1"/>
    <xf numFmtId="0" fontId="0" fillId="0" borderId="49" xfId="0" applyBorder="1"/>
    <xf numFmtId="167" fontId="3" fillId="36" borderId="50" xfId="1" applyFont="1" applyFill="1" applyBorder="1" applyAlignment="1">
      <alignment horizontal="center" wrapText="1"/>
    </xf>
    <xf numFmtId="167" fontId="3" fillId="36" borderId="19" xfId="1" applyFont="1" applyFill="1" applyBorder="1" applyAlignment="1">
      <alignment horizontal="center" wrapText="1"/>
    </xf>
    <xf numFmtId="10" fontId="0" fillId="0" borderId="0" xfId="0" applyNumberFormat="1" applyAlignment="1">
      <alignment horizontal="center"/>
    </xf>
    <xf numFmtId="43" fontId="2" fillId="0" borderId="0" xfId="140" applyNumberFormat="1"/>
    <xf numFmtId="4" fontId="2" fillId="0" borderId="0" xfId="140" applyNumberFormat="1"/>
    <xf numFmtId="0" fontId="102" fillId="0" borderId="0" xfId="0" applyFont="1"/>
    <xf numFmtId="14" fontId="0" fillId="36" borderId="50" xfId="0" applyNumberFormat="1" applyFill="1" applyBorder="1"/>
    <xf numFmtId="167" fontId="0" fillId="36" borderId="0" xfId="1" applyFont="1" applyFill="1" applyBorder="1"/>
    <xf numFmtId="167" fontId="0" fillId="36" borderId="19" xfId="1" applyFont="1" applyFill="1" applyBorder="1"/>
    <xf numFmtId="167" fontId="0" fillId="36" borderId="50" xfId="1" applyFont="1" applyFill="1" applyBorder="1"/>
    <xf numFmtId="167" fontId="0" fillId="36" borderId="19" xfId="0" applyNumberFormat="1" applyFill="1" applyBorder="1"/>
    <xf numFmtId="164" fontId="0" fillId="0" borderId="0" xfId="0" applyNumberFormat="1" applyAlignment="1">
      <alignment horizontal="center"/>
    </xf>
    <xf numFmtId="14" fontId="93" fillId="35" borderId="45" xfId="0" applyNumberFormat="1" applyFont="1" applyFill="1" applyBorder="1" applyAlignment="1">
      <alignment horizontal="right"/>
    </xf>
    <xf numFmtId="0" fontId="93" fillId="35" borderId="46" xfId="0" applyFont="1" applyFill="1" applyBorder="1"/>
    <xf numFmtId="165" fontId="103" fillId="0" borderId="46" xfId="0" applyNumberFormat="1" applyFont="1" applyBorder="1" applyAlignment="1">
      <alignment horizontal="right"/>
    </xf>
    <xf numFmtId="0" fontId="103" fillId="0" borderId="46" xfId="0" applyFont="1" applyBorder="1"/>
    <xf numFmtId="10" fontId="103" fillId="0" borderId="46" xfId="0" applyNumberFormat="1" applyFont="1" applyBorder="1" applyAlignment="1">
      <alignment horizontal="right"/>
    </xf>
    <xf numFmtId="0" fontId="93" fillId="0" borderId="47" xfId="0" applyFont="1" applyBorder="1"/>
    <xf numFmtId="165" fontId="104" fillId="0" borderId="47" xfId="0" applyNumberFormat="1" applyFont="1" applyBorder="1" applyAlignment="1">
      <alignment horizontal="right"/>
    </xf>
    <xf numFmtId="14" fontId="93" fillId="35" borderId="53" xfId="0" applyNumberFormat="1" applyFont="1" applyFill="1" applyBorder="1" applyAlignment="1">
      <alignment horizontal="right"/>
    </xf>
    <xf numFmtId="0" fontId="93" fillId="35" borderId="54" xfId="0" applyFont="1" applyFill="1" applyBorder="1"/>
    <xf numFmtId="165" fontId="103" fillId="0" borderId="54" xfId="0" applyNumberFormat="1" applyFont="1" applyBorder="1" applyAlignment="1">
      <alignment horizontal="right"/>
    </xf>
    <xf numFmtId="0" fontId="103" fillId="0" borderId="54" xfId="0" applyFont="1" applyBorder="1"/>
    <xf numFmtId="10" fontId="103" fillId="0" borderId="54" xfId="0" applyNumberFormat="1" applyFont="1" applyBorder="1" applyAlignment="1">
      <alignment horizontal="right"/>
    </xf>
    <xf numFmtId="164" fontId="104" fillId="0" borderId="47" xfId="0" applyNumberFormat="1" applyFont="1" applyBorder="1" applyAlignment="1">
      <alignment horizontal="right"/>
    </xf>
    <xf numFmtId="14" fontId="93" fillId="0" borderId="53" xfId="0" applyNumberFormat="1" applyFont="1" applyBorder="1" applyAlignment="1">
      <alignment horizontal="right"/>
    </xf>
    <xf numFmtId="0" fontId="93" fillId="0" borderId="54" xfId="0" applyFont="1" applyBorder="1"/>
    <xf numFmtId="0" fontId="93" fillId="41" borderId="54" xfId="0" applyFont="1" applyFill="1" applyBorder="1"/>
    <xf numFmtId="167" fontId="2" fillId="0" borderId="0" xfId="1"/>
    <xf numFmtId="167" fontId="2" fillId="0" borderId="55" xfId="1" applyBorder="1"/>
    <xf numFmtId="167" fontId="2" fillId="0" borderId="43" xfId="140" applyNumberFormat="1" applyBorder="1"/>
    <xf numFmtId="0" fontId="3" fillId="0" borderId="0" xfId="140" applyFont="1"/>
    <xf numFmtId="166" fontId="2" fillId="0" borderId="0" xfId="2" applyFill="1" applyAlignment="1">
      <alignment horizontal="center"/>
    </xf>
    <xf numFmtId="167" fontId="3" fillId="0" borderId="43" xfId="140" applyNumberFormat="1" applyFont="1" applyBorder="1"/>
    <xf numFmtId="167" fontId="0" fillId="36" borderId="15" xfId="0" applyNumberFormat="1" applyFill="1" applyBorder="1"/>
    <xf numFmtId="167" fontId="3" fillId="36" borderId="0" xfId="0" applyNumberFormat="1" applyFont="1" applyFill="1"/>
    <xf numFmtId="0" fontId="96" fillId="0" borderId="0" xfId="140" applyFont="1"/>
    <xf numFmtId="167" fontId="0" fillId="0" borderId="55" xfId="0" applyNumberFormat="1" applyBorder="1"/>
    <xf numFmtId="179" fontId="3" fillId="36" borderId="0" xfId="0" applyNumberFormat="1" applyFont="1" applyFill="1" applyAlignment="1">
      <alignment horizontal="center"/>
    </xf>
    <xf numFmtId="167" fontId="0" fillId="36" borderId="0" xfId="0" quotePrefix="1" applyNumberFormat="1" applyFill="1"/>
    <xf numFmtId="167" fontId="0" fillId="36" borderId="44" xfId="0" applyNumberFormat="1" applyFill="1" applyBorder="1"/>
    <xf numFmtId="166" fontId="19" fillId="36" borderId="0" xfId="143" applyFont="1" applyFill="1" applyBorder="1"/>
    <xf numFmtId="167" fontId="19" fillId="36" borderId="4" xfId="1" applyFont="1" applyFill="1" applyBorder="1"/>
    <xf numFmtId="17" fontId="3" fillId="36" borderId="0" xfId="0" applyNumberFormat="1" applyFont="1" applyFill="1"/>
    <xf numFmtId="166" fontId="0" fillId="36" borderId="4" xfId="2" applyFont="1" applyFill="1" applyBorder="1"/>
    <xf numFmtId="167" fontId="3" fillId="36" borderId="0" xfId="139" applyFont="1" applyFill="1"/>
    <xf numFmtId="167" fontId="0" fillId="0" borderId="4" xfId="1" applyFont="1" applyFill="1" applyBorder="1"/>
    <xf numFmtId="167" fontId="11" fillId="0" borderId="0" xfId="50" applyFont="1" applyBorder="1" applyAlignment="1">
      <alignment horizontal="left" vertical="top"/>
    </xf>
    <xf numFmtId="167" fontId="11" fillId="33" borderId="55" xfId="50" applyFont="1" applyFill="1" applyBorder="1" applyAlignment="1">
      <alignment horizontal="left" vertical="top"/>
    </xf>
    <xf numFmtId="167" fontId="11" fillId="0" borderId="55" xfId="50" applyFont="1" applyFill="1" applyBorder="1" applyAlignment="1">
      <alignment horizontal="left" vertical="top"/>
    </xf>
    <xf numFmtId="167" fontId="11" fillId="0" borderId="55" xfId="50" applyFont="1" applyBorder="1" applyAlignment="1">
      <alignment horizontal="left" vertical="top"/>
    </xf>
    <xf numFmtId="167" fontId="14" fillId="0" borderId="0" xfId="1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4" fontId="14" fillId="0" borderId="0" xfId="0" applyNumberFormat="1" applyFont="1" applyAlignment="1">
      <alignment vertical="top" wrapText="1"/>
    </xf>
    <xf numFmtId="167" fontId="15" fillId="0" borderId="0" xfId="50" applyFont="1" applyAlignment="1">
      <alignment horizontal="right" vertical="top" shrinkToFit="1"/>
    </xf>
    <xf numFmtId="167" fontId="17" fillId="0" borderId="0" xfId="50" applyFont="1" applyBorder="1" applyAlignment="1">
      <alignment horizontal="left" vertical="top"/>
    </xf>
    <xf numFmtId="167" fontId="11" fillId="0" borderId="4" xfId="50" applyFont="1" applyBorder="1" applyAlignment="1">
      <alignment horizontal="left" vertical="top"/>
    </xf>
    <xf numFmtId="170" fontId="97" fillId="0" borderId="0" xfId="0" applyNumberFormat="1" applyFont="1"/>
    <xf numFmtId="170" fontId="97" fillId="0" borderId="0" xfId="0" applyNumberFormat="1" applyFont="1" applyAlignment="1">
      <alignment horizontal="left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0" fontId="49" fillId="0" borderId="0" xfId="0" applyFont="1" applyAlignment="1">
      <alignment horizontal="left" wrapText="1"/>
    </xf>
    <xf numFmtId="0" fontId="89" fillId="0" borderId="0" xfId="0" applyFont="1" applyAlignment="1">
      <alignment horizontal="left" wrapText="1"/>
    </xf>
    <xf numFmtId="0" fontId="105" fillId="0" borderId="0" xfId="0" applyFont="1" applyAlignment="1">
      <alignment horizontal="left" wrapText="1"/>
    </xf>
    <xf numFmtId="0" fontId="3" fillId="11" borderId="14" xfId="27" applyFill="1"/>
    <xf numFmtId="180" fontId="2" fillId="0" borderId="0" xfId="140" applyNumberFormat="1"/>
    <xf numFmtId="170" fontId="3" fillId="36" borderId="0" xfId="0" applyNumberFormat="1" applyFont="1" applyFill="1"/>
    <xf numFmtId="0" fontId="111" fillId="0" borderId="55" xfId="155" applyFont="1" applyAlignment="1">
      <alignment horizontal="center" wrapText="1"/>
    </xf>
    <xf numFmtId="0" fontId="94" fillId="0" borderId="0" xfId="0" applyFont="1" applyAlignment="1">
      <alignment horizontal="left" wrapText="1"/>
    </xf>
    <xf numFmtId="0" fontId="94" fillId="0" borderId="0" xfId="0" applyFont="1" applyAlignment="1">
      <alignment wrapText="1"/>
    </xf>
    <xf numFmtId="4" fontId="94" fillId="0" borderId="0" xfId="0" applyNumberFormat="1" applyFont="1" applyAlignment="1">
      <alignment wrapText="1"/>
    </xf>
    <xf numFmtId="0" fontId="95" fillId="0" borderId="0" xfId="0" applyFont="1" applyAlignment="1">
      <alignment horizontal="left" wrapText="1"/>
    </xf>
    <xf numFmtId="181" fontId="95" fillId="0" borderId="44" xfId="0" applyNumberFormat="1" applyFont="1" applyBorder="1" applyAlignment="1">
      <alignment wrapText="1"/>
    </xf>
    <xf numFmtId="0" fontId="95" fillId="0" borderId="44" xfId="0" applyFont="1" applyBorder="1" applyAlignment="1">
      <alignment wrapText="1"/>
    </xf>
    <xf numFmtId="167" fontId="0" fillId="35" borderId="52" xfId="1" applyFont="1" applyFill="1" applyBorder="1"/>
    <xf numFmtId="0" fontId="0" fillId="36" borderId="50" xfId="0" applyFill="1" applyBorder="1"/>
    <xf numFmtId="14" fontId="0" fillId="36" borderId="51" xfId="0" applyNumberFormat="1" applyFill="1" applyBorder="1"/>
    <xf numFmtId="167" fontId="0" fillId="36" borderId="29" xfId="1" applyFont="1" applyFill="1" applyBorder="1"/>
    <xf numFmtId="167" fontId="0" fillId="36" borderId="51" xfId="1" applyFont="1" applyFill="1" applyBorder="1"/>
    <xf numFmtId="9" fontId="0" fillId="0" borderId="0" xfId="0" applyNumberFormat="1"/>
    <xf numFmtId="10" fontId="0" fillId="0" borderId="0" xfId="0" applyNumberFormat="1"/>
    <xf numFmtId="167" fontId="0" fillId="35" borderId="52" xfId="0" applyNumberFormat="1" applyFill="1" applyBorder="1"/>
    <xf numFmtId="167" fontId="0" fillId="35" borderId="0" xfId="1" applyFont="1" applyFill="1" applyBorder="1"/>
    <xf numFmtId="0" fontId="0" fillId="35" borderId="0" xfId="0" applyFill="1"/>
    <xf numFmtId="10" fontId="0" fillId="35" borderId="0" xfId="153" applyNumberFormat="1" applyFont="1" applyFill="1"/>
    <xf numFmtId="0" fontId="98" fillId="35" borderId="0" xfId="0" applyFont="1" applyFill="1"/>
    <xf numFmtId="17" fontId="0" fillId="0" borderId="0" xfId="0" applyNumberFormat="1"/>
    <xf numFmtId="0" fontId="112" fillId="0" borderId="0" xfId="0" applyFont="1" applyAlignment="1">
      <alignment horizontal="left" wrapText="1"/>
    </xf>
    <xf numFmtId="170" fontId="113" fillId="0" borderId="0" xfId="0" applyNumberFormat="1" applyFont="1" applyAlignment="1">
      <alignment horizontal="right" wrapText="1"/>
    </xf>
    <xf numFmtId="167" fontId="11" fillId="0" borderId="0" xfId="50" applyFont="1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88" fillId="0" borderId="42" xfId="136" applyFont="1" applyBorder="1" applyAlignment="1">
      <alignment horizontal="center"/>
    </xf>
    <xf numFmtId="0" fontId="88" fillId="0" borderId="5" xfId="136" applyFont="1" applyBorder="1" applyAlignment="1">
      <alignment horizontal="center"/>
    </xf>
    <xf numFmtId="0" fontId="83" fillId="0" borderId="37" xfId="136" applyFont="1" applyBorder="1" applyAlignment="1">
      <alignment horizontal="center"/>
    </xf>
    <xf numFmtId="0" fontId="55" fillId="0" borderId="0" xfId="136"/>
    <xf numFmtId="0" fontId="55" fillId="0" borderId="0" xfId="136" applyAlignment="1">
      <alignment horizontal="center"/>
    </xf>
    <xf numFmtId="174" fontId="74" fillId="0" borderId="33" xfId="136" applyNumberFormat="1" applyFont="1" applyBorder="1" applyAlignment="1">
      <alignment horizontal="center"/>
    </xf>
    <xf numFmtId="174" fontId="74" fillId="0" borderId="32" xfId="136" applyNumberFormat="1" applyFont="1" applyBorder="1" applyAlignment="1">
      <alignment horizontal="center"/>
    </xf>
    <xf numFmtId="4" fontId="63" fillId="0" borderId="20" xfId="136" applyNumberFormat="1" applyFont="1" applyBorder="1" applyAlignment="1">
      <alignment horizontal="left" vertical="top" wrapText="1"/>
    </xf>
    <xf numFmtId="4" fontId="63" fillId="0" borderId="0" xfId="136" applyNumberFormat="1" applyFont="1" applyAlignment="1">
      <alignment horizontal="left" vertical="top" wrapText="1"/>
    </xf>
    <xf numFmtId="4" fontId="63" fillId="0" borderId="19" xfId="136" applyNumberFormat="1" applyFont="1" applyBorder="1" applyAlignment="1">
      <alignment horizontal="left" vertical="top" wrapText="1"/>
    </xf>
    <xf numFmtId="0" fontId="55" fillId="0" borderId="0" xfId="136" applyAlignment="1">
      <alignment horizontal="left"/>
    </xf>
    <xf numFmtId="4" fontId="59" fillId="0" borderId="20" xfId="136" applyNumberFormat="1" applyFont="1" applyBorder="1" applyAlignment="1">
      <alignment horizontal="left" vertical="top" wrapText="1"/>
    </xf>
    <xf numFmtId="4" fontId="59" fillId="0" borderId="0" xfId="136" applyNumberFormat="1" applyFont="1" applyAlignment="1">
      <alignment horizontal="left" vertical="top" wrapText="1"/>
    </xf>
    <xf numFmtId="4" fontId="59" fillId="0" borderId="19" xfId="136" applyNumberFormat="1" applyFont="1" applyBorder="1" applyAlignment="1">
      <alignment horizontal="left" vertical="top" wrapText="1"/>
    </xf>
    <xf numFmtId="0" fontId="66" fillId="0" borderId="29" xfId="136" applyFont="1" applyBorder="1" applyAlignment="1">
      <alignment horizontal="center"/>
    </xf>
    <xf numFmtId="0" fontId="71" fillId="0" borderId="0" xfId="136" applyFont="1" applyAlignment="1">
      <alignment horizontal="left" vertical="center"/>
    </xf>
    <xf numFmtId="0" fontId="70" fillId="0" borderId="0" xfId="136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15" fillId="0" borderId="0" xfId="0" applyNumberFormat="1" applyFont="1" applyAlignment="1">
      <alignment horizontal="right" vertical="top" shrinkToFit="1"/>
    </xf>
    <xf numFmtId="4" fontId="15" fillId="0" borderId="3" xfId="0" applyNumberFormat="1" applyFont="1" applyBorder="1" applyAlignment="1">
      <alignment horizontal="left" vertical="top" indent="4" shrinkToFit="1"/>
    </xf>
    <xf numFmtId="0" fontId="3" fillId="0" borderId="0" xfId="0" applyFont="1" applyAlignment="1">
      <alignment horizontal="center"/>
    </xf>
    <xf numFmtId="0" fontId="10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09" fillId="0" borderId="0" xfId="0" applyFont="1" applyAlignment="1">
      <alignment horizontal="center" wrapText="1"/>
    </xf>
    <xf numFmtId="0" fontId="110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57">
    <cellStyle name="20% - Accent1" xfId="4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3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7" builtinId="27" customBuiltin="1"/>
    <cellStyle name="Calculation" xfId="21" builtinId="22" customBuiltin="1"/>
    <cellStyle name="Check Cell" xfId="23" builtinId="23" customBuiltin="1"/>
    <cellStyle name="Comma" xfId="1" builtinId="3"/>
    <cellStyle name="Comma 2" xfId="6" xr:uid="{778ACAB3-8D30-4603-A249-81D7E5E2A68E}"/>
    <cellStyle name="Comma 2 2" xfId="50" xr:uid="{DE6D3FDC-992B-4773-9BB9-E80D845E0454}"/>
    <cellStyle name="Comma 2 2 2" xfId="148" xr:uid="{C6152E3C-22D1-4ABD-84FF-8C6F23A652B0}"/>
    <cellStyle name="Comma 2 2 3" xfId="146" xr:uid="{2EB37620-13C3-48C3-A066-99B4E7BDAC5A}"/>
    <cellStyle name="Comma 2 3" xfId="139" xr:uid="{6280409D-95D3-489B-AB78-54371A7C35F5}"/>
    <cellStyle name="Comma 2 3 2" xfId="149" xr:uid="{7BDBC484-ACC8-4E49-B1A8-215D5C529C57}"/>
    <cellStyle name="Comma 3" xfId="8" xr:uid="{FD3D0A62-6B1B-448B-AB44-5B5F2B2CF6B8}"/>
    <cellStyle name="Comma 3 2" xfId="145" xr:uid="{7ED33852-1218-4E20-8607-E38DF12858AC}"/>
    <cellStyle name="Comma 4" xfId="156" xr:uid="{4A6626BB-2DD3-4CA5-86E7-E2B62418CEC4}"/>
    <cellStyle name="Comma 6 2" xfId="121" xr:uid="{F615F5DE-C0A8-4DAE-B593-CBCD5E60EB32}"/>
    <cellStyle name="Comma 7" xfId="123" xr:uid="{EFFB2E02-2F23-44E2-B032-4F92F01C0FB6}"/>
    <cellStyle name="Currency" xfId="2" builtinId="4"/>
    <cellStyle name="Currency 10" xfId="84" xr:uid="{F595AE23-BF37-41EC-971D-860B51777258}"/>
    <cellStyle name="Currency 10 2" xfId="111" xr:uid="{B91689DE-8F5D-4905-BEBB-76DE14A9A361}"/>
    <cellStyle name="Currency 11" xfId="86" xr:uid="{352B16B5-1CA2-4B60-8BD3-3F77AAD15191}"/>
    <cellStyle name="Currency 12" xfId="128" xr:uid="{683BC0F6-57C2-4502-8082-6DD90855DFC3}"/>
    <cellStyle name="Currency 2" xfId="55" xr:uid="{434707D5-FA48-491E-A64A-780D6587C61A}"/>
    <cellStyle name="Currency 2 2" xfId="56" xr:uid="{004AD6EF-4D08-4A6B-BD9B-27967F3A05B7}"/>
    <cellStyle name="Currency 2 2 2" xfId="88" xr:uid="{7FDB6A13-59D8-4605-A7DD-FAF43D7B5BCF}"/>
    <cellStyle name="Currency 2 3" xfId="57" xr:uid="{313CCC3C-DC7D-4387-AA3A-E0268DAE4F03}"/>
    <cellStyle name="Currency 2 3 2" xfId="89" xr:uid="{C1D61639-1D75-48A2-A6C6-0DD35F6A7C24}"/>
    <cellStyle name="Currency 2 4" xfId="87" xr:uid="{BFFCC52A-9F54-4208-BFC7-AFAAA37764FA}"/>
    <cellStyle name="Currency 2 5" xfId="143" xr:uid="{0E3384ED-5C53-4A63-9FEE-5A3C69EF99B9}"/>
    <cellStyle name="Currency 3" xfId="58" xr:uid="{4EC1094E-54C3-44E9-8DF9-197DE1DF40C4}"/>
    <cellStyle name="Currency 3 2" xfId="59" xr:uid="{AAF630B7-DD3A-4F51-BD4C-738830E478DE}"/>
    <cellStyle name="Currency 3 2 2" xfId="91" xr:uid="{99B8ED70-5564-4B73-95FF-BE797700498D}"/>
    <cellStyle name="Currency 3 3" xfId="60" xr:uid="{6971F96E-89A7-4B3D-8E88-BE353E589926}"/>
    <cellStyle name="Currency 3 3 2" xfId="92" xr:uid="{5236F3DC-7619-49DB-AA34-E0757CF3977E}"/>
    <cellStyle name="Currency 3 4" xfId="90" xr:uid="{10E5FFAC-4E7D-498F-8287-83AA87EF5860}"/>
    <cellStyle name="Currency 4" xfId="61" xr:uid="{61783840-5350-4573-AAD9-B208D23E44FD}"/>
    <cellStyle name="Currency 4 2" xfId="62" xr:uid="{B55B5C41-035F-4C88-B4E4-0BA3A9698CA4}"/>
    <cellStyle name="Currency 4 2 2" xfId="94" xr:uid="{A8EE3975-9705-45B7-A002-8692B874CA94}"/>
    <cellStyle name="Currency 4 3" xfId="63" xr:uid="{2F0CF4B5-6B69-4A2D-8990-96726CEA01DB}"/>
    <cellStyle name="Currency 4 3 2" xfId="95" xr:uid="{A3239B4F-BE8F-49CF-8425-0B5414A678CF}"/>
    <cellStyle name="Currency 4 4" xfId="93" xr:uid="{3D663BA2-9A96-475F-892A-FFEDC29464D4}"/>
    <cellStyle name="Currency 5" xfId="64" xr:uid="{9DD406A4-18E8-4E42-AB65-8E16EBF98442}"/>
    <cellStyle name="Currency 5 2" xfId="65" xr:uid="{F4D5030E-D75F-4DDB-A485-995955F46816}"/>
    <cellStyle name="Currency 5 2 2" xfId="97" xr:uid="{8EB50C6E-CD24-48B9-8B84-E3898BEE6AED}"/>
    <cellStyle name="Currency 5 3" xfId="96" xr:uid="{6ABB908D-74BE-4FAB-A5C0-C3E23A7EBE60}"/>
    <cellStyle name="Currency 6" xfId="66" xr:uid="{BE2D0665-01EA-485F-A596-61D77AFC66B7}"/>
    <cellStyle name="Currency 6 2" xfId="98" xr:uid="{0342938A-DC45-488A-A48F-FE25DB934A6B}"/>
    <cellStyle name="Currency 7" xfId="67" xr:uid="{0480861C-B579-4E30-8848-C96DCFD13C74}"/>
    <cellStyle name="Currency 8" xfId="80" xr:uid="{327F7275-64D7-4BFD-9FF9-C497B62A43FE}"/>
    <cellStyle name="Currency 8 2" xfId="107" xr:uid="{54786366-42D2-49BB-A3CE-33355B641766}"/>
    <cellStyle name="Currency 9" xfId="82" xr:uid="{368AE515-9AC4-4E60-B79B-A2CF5D85F053}"/>
    <cellStyle name="Currency 9 2" xfId="109" xr:uid="{064BECB6-2260-415B-A92F-22D165E8FB61}"/>
    <cellStyle name="Excel Built-in Normal" xfId="68" xr:uid="{10B83C77-E614-4686-A701-ED843322B550}"/>
    <cellStyle name="Excel Built-in Normal 2" xfId="99" xr:uid="{067A06E8-36C2-404A-925A-14DE5A581C19}"/>
    <cellStyle name="Explanatory Text" xfId="26" builtinId="53" customBuiltin="1"/>
    <cellStyle name="Good" xfId="16" builtinId="26" customBuiltin="1"/>
    <cellStyle name="HeaderCellStyle" xfId="155" xr:uid="{1FC545A5-8DA8-4872-A1FB-4FEE13F87D11}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Hyperlink" xfId="138" builtinId="8"/>
    <cellStyle name="Hyperlink 2" xfId="10" xr:uid="{C7D3AD51-6DF9-49E0-9172-487A63FB0E72}"/>
    <cellStyle name="Hyperlink 3" xfId="116" xr:uid="{338754BA-AE15-467F-A714-BEA78745B1A0}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10" xfId="83" xr:uid="{3E261701-CF4C-4C94-A59E-5CBE3FDEA4A6}"/>
    <cellStyle name="Normal 10 2" xfId="110" xr:uid="{E06CA764-AC66-466D-BA17-8FDF2212DF45}"/>
    <cellStyle name="Normal 11" xfId="85" xr:uid="{FA5C157A-091F-4C80-9A89-A959E3EDF8E4}"/>
    <cellStyle name="Normal 12" xfId="112" xr:uid="{8083C4BF-6D61-4E02-ACDE-442393E7076C}"/>
    <cellStyle name="Normal 13" xfId="113" xr:uid="{AE5BBDB1-CF94-4A31-BDC3-9F05059113A3}"/>
    <cellStyle name="Normal 14" xfId="114" xr:uid="{61CB2CF2-55B6-45D1-8B8D-EBB45E601A50}"/>
    <cellStyle name="Normal 14 2" xfId="124" xr:uid="{63B6A9F6-82F8-42C7-9485-C8DC27FF411A}"/>
    <cellStyle name="Normal 15" xfId="115" xr:uid="{281E1E01-2CD0-4771-A338-9BBE5B975A13}"/>
    <cellStyle name="Normal 16" xfId="117" xr:uid="{556A1758-7DFF-416D-8777-E51F6A0D958E}"/>
    <cellStyle name="Normal 16 2" xfId="125" xr:uid="{34433F09-8BCC-48CC-899E-A709634A9671}"/>
    <cellStyle name="Normal 17" xfId="118" xr:uid="{5BB27E3D-CF99-46AA-98D3-9711992D19CD}"/>
    <cellStyle name="Normal 17 2" xfId="126" xr:uid="{46AB4E05-8483-4186-8B35-1F17BB600302}"/>
    <cellStyle name="Normal 18" xfId="119" xr:uid="{C879DB18-E4BE-445E-8447-08CCA35BE3EF}"/>
    <cellStyle name="Normal 18 2" xfId="127" xr:uid="{D6F23C0B-9DAE-4266-A904-F1469D72B95E}"/>
    <cellStyle name="Normal 19" xfId="122" xr:uid="{784F5F1E-B377-41B9-8ED8-477A83AB8A94}"/>
    <cellStyle name="Normal 19 2" xfId="132" xr:uid="{AE469D99-BB4E-4A14-B6F7-50AA74744991}"/>
    <cellStyle name="Normal 19 3" xfId="130" xr:uid="{B71067A2-1267-49F7-9688-9D9FF90A5794}"/>
    <cellStyle name="Normal 2" xfId="5" xr:uid="{C152691F-D3B6-4399-9B5A-7848D9E2ABAF}"/>
    <cellStyle name="Normal 2 2" xfId="52" xr:uid="{9EF7CE2F-85FA-49BD-96E2-B5AD76F036AA}"/>
    <cellStyle name="Normal 2 2 2" xfId="144" xr:uid="{AA3A82D1-116F-46F7-AA5F-B4A791E9A800}"/>
    <cellStyle name="Normal 2 3" xfId="140" xr:uid="{42D7369C-1FE2-42ED-8B39-CEE0B6CAF37F}"/>
    <cellStyle name="Normal 2 3 2" xfId="150" xr:uid="{2A022787-281B-4868-9BC4-27638ED87FD5}"/>
    <cellStyle name="Normal 2 4" xfId="152" xr:uid="{F638F409-BEA5-4066-B0CC-2A2DDED303A4}"/>
    <cellStyle name="Normal 20" xfId="131" xr:uid="{1783057B-E59F-4A79-A60E-82FC7191E85C}"/>
    <cellStyle name="Normal 20 2" xfId="133" xr:uid="{79ADD7EF-877B-4488-8FF5-5F85972749AB}"/>
    <cellStyle name="Normal 21" xfId="134" xr:uid="{FED319DD-7BDD-472C-B287-CCB1E58846F8}"/>
    <cellStyle name="Normal 22" xfId="135" xr:uid="{CDB8581C-F9C9-4D62-BB8F-9344C6AB05F2}"/>
    <cellStyle name="Normal 23" xfId="136" xr:uid="{E17ED582-8F67-4C19-B1AE-E48E1BDB3DF0}"/>
    <cellStyle name="Normal 24" xfId="142" xr:uid="{ADADF168-D1D9-4581-8917-6BF61A318975}"/>
    <cellStyle name="Normal 3" xfId="7" xr:uid="{E5110063-6F3C-4A66-90BB-52B5908297BB}"/>
    <cellStyle name="Normal 3 2" xfId="54" xr:uid="{BB9C19AD-9A02-4F86-8F4A-77E351438E39}"/>
    <cellStyle name="Normal 3 2 2" xfId="147" xr:uid="{1CDEE530-FC5F-4B63-9A47-CA2180FCB29E}"/>
    <cellStyle name="Normal 3 3" xfId="70" xr:uid="{67A18821-4844-49CE-BD70-E9AC2B9B7AB0}"/>
    <cellStyle name="Normal 3 3 2" xfId="100" xr:uid="{AB87FF0F-08C5-4C97-AB1D-FD53F85B10AD}"/>
    <cellStyle name="Normal 3 4" xfId="71" xr:uid="{D0E4DAA0-9F3B-42E5-BB16-E6207EC65AFA}"/>
    <cellStyle name="Normal 3 4 2" xfId="101" xr:uid="{3E1B9B7D-1424-4520-B56F-5E8BABD36A28}"/>
    <cellStyle name="Normal 3 5" xfId="69" xr:uid="{2F435E9A-5CBF-4D3D-A46A-A57A2379CE69}"/>
    <cellStyle name="Normal 3 6" xfId="151" xr:uid="{17E8C451-FC98-412F-84FC-EF2D8FA3BC22}"/>
    <cellStyle name="Normal 3 7" xfId="154" xr:uid="{F8469DDF-2A7D-41E5-99FD-B9E7D35D40CA}"/>
    <cellStyle name="Normal 4" xfId="9" xr:uid="{FDFFAD77-9A4E-417D-ABA9-3A06F69CECC5}"/>
    <cellStyle name="Normal 4 2" xfId="51" xr:uid="{B551FFFF-D59D-4A27-9CCA-F8393155B8B0}"/>
    <cellStyle name="Normal 4 2 2" xfId="73" xr:uid="{CBBFE01F-96CC-4AE1-9EBD-89698E475645}"/>
    <cellStyle name="Normal 4 3" xfId="74" xr:uid="{E0C188C4-D509-4505-8582-4AC4EC9E41DB}"/>
    <cellStyle name="Normal 4 4" xfId="72" xr:uid="{A8168603-0602-4A0F-8582-9ABBC750C40A}"/>
    <cellStyle name="Normal 4 5" xfId="53" xr:uid="{069EBF94-D852-491E-AB32-B8E92A9E03B9}"/>
    <cellStyle name="Normal 5" xfId="75" xr:uid="{8C7B6DD2-BD92-4F0B-A724-6CFE529A1A1D}"/>
    <cellStyle name="Normal 5 2" xfId="76" xr:uid="{7155FD64-C023-4BBE-BA19-2AD97300E2FA}"/>
    <cellStyle name="Normal 5 2 2" xfId="103" xr:uid="{CD9F38B8-CE5C-43CA-A6AF-056262EA2931}"/>
    <cellStyle name="Normal 5 3" xfId="102" xr:uid="{F9EA5DFF-DF4B-49C9-A597-E84561524018}"/>
    <cellStyle name="Normal 5 4" xfId="137" xr:uid="{9BA12BAF-286C-48F7-A02F-597EDFFFC7D7}"/>
    <cellStyle name="Normal 6" xfId="77" xr:uid="{9BCADBE9-9049-4F49-83A1-93FA8C93D80F}"/>
    <cellStyle name="Normal 6 2" xfId="104" xr:uid="{BD85DBBD-796C-4CAC-B77F-D00948B8A305}"/>
    <cellStyle name="Normal 7" xfId="78" xr:uid="{59037708-C381-4DC8-ABB2-EAA25D65BE7F}"/>
    <cellStyle name="Normal 7 2" xfId="105" xr:uid="{18BAE079-8967-42A7-9AC2-77DA090E8979}"/>
    <cellStyle name="Normal 8" xfId="79" xr:uid="{2684A538-6093-4ACC-84B5-6CE1B5375B01}"/>
    <cellStyle name="Normal 8 2" xfId="106" xr:uid="{455D5E27-0FC8-4B61-94EF-9E30D2D3CC32}"/>
    <cellStyle name="Normal 8 2 2" xfId="120" xr:uid="{390A552F-FE1B-4C75-84E6-9CFFD031F377}"/>
    <cellStyle name="Normal 9" xfId="81" xr:uid="{44B02C2A-183E-4677-9D47-612D0039F673}"/>
    <cellStyle name="Normal 9 2" xfId="108" xr:uid="{F1BA1A54-BE80-4876-82BD-1BCD18C40055}"/>
    <cellStyle name="Note" xfId="25" builtinId="10" customBuiltin="1"/>
    <cellStyle name="Output" xfId="20" builtinId="21" customBuiltin="1"/>
    <cellStyle name="Percent" xfId="153" builtinId="5"/>
    <cellStyle name="Percent 2" xfId="129" xr:uid="{992E6124-4A22-4466-A618-4CD7A7B69247}"/>
    <cellStyle name="Percent 2 2" xfId="141" xr:uid="{1C120D1D-8208-479D-A791-11B6906663E6}"/>
    <cellStyle name="Title" xfId="11" builtinId="15" customBuiltin="1"/>
    <cellStyle name="Total" xfId="27" builtinId="25" customBuiltin="1"/>
    <cellStyle name="Warning Text" xfId="2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7BEEC"/>
      <color rgb="FF942E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38913" name="FILTER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04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38914" name="HEADER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00000000-0008-0000-0400-000002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415925</xdr:colOff>
      <xdr:row>6</xdr:row>
      <xdr:rowOff>0</xdr:rowOff>
    </xdr:to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114425"/>
          <a:ext cx="410210" cy="0"/>
        </a:xfrm>
        <a:custGeom>
          <a:avLst/>
          <a:gdLst/>
          <a:ahLst/>
          <a:cxnLst/>
          <a:rect l="0" t="0" r="0" b="0"/>
          <a:pathLst>
            <a:path w="394335">
              <a:moveTo>
                <a:pt x="0" y="0"/>
              </a:moveTo>
              <a:lnTo>
                <a:pt x="394334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174625</xdr:colOff>
      <xdr:row>6</xdr:row>
      <xdr:rowOff>0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1114425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339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986790</xdr:colOff>
      <xdr:row>6</xdr:row>
      <xdr:rowOff>0</xdr:rowOff>
    </xdr:to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9833548"/>
          <a:ext cx="967740" cy="0"/>
        </a:xfrm>
        <a:custGeom>
          <a:avLst/>
          <a:gdLst/>
          <a:ahLst/>
          <a:cxnLst/>
          <a:rect l="0" t="0" r="0" b="0"/>
          <a:pathLst>
            <a:path w="932815">
              <a:moveTo>
                <a:pt x="0" y="0"/>
              </a:moveTo>
              <a:lnTo>
                <a:pt x="932815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644525</xdr:colOff>
      <xdr:row>6</xdr:row>
      <xdr:rowOff>0</xdr:rowOff>
    </xdr:to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9846248"/>
          <a:ext cx="638810" cy="0"/>
        </a:xfrm>
        <a:custGeom>
          <a:avLst/>
          <a:gdLst/>
          <a:ahLst/>
          <a:cxnLst/>
          <a:rect l="0" t="0" r="0" b="0"/>
          <a:pathLst>
            <a:path w="638810">
              <a:moveTo>
                <a:pt x="0" y="0"/>
              </a:moveTo>
              <a:lnTo>
                <a:pt x="63881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396240</xdr:colOff>
      <xdr:row>6</xdr:row>
      <xdr:rowOff>0</xdr:rowOff>
    </xdr:to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9879806"/>
          <a:ext cx="394335" cy="0"/>
        </a:xfrm>
        <a:custGeom>
          <a:avLst/>
          <a:gdLst/>
          <a:ahLst/>
          <a:cxnLst/>
          <a:rect l="0" t="0" r="0" b="0"/>
          <a:pathLst>
            <a:path w="394335">
              <a:moveTo>
                <a:pt x="0" y="0"/>
              </a:moveTo>
              <a:lnTo>
                <a:pt x="394334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1066800</xdr:colOff>
      <xdr:row>6</xdr:row>
      <xdr:rowOff>0</xdr:rowOff>
    </xdr:to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0" y="9889331"/>
          <a:ext cx="1066800" cy="0"/>
        </a:xfrm>
        <a:custGeom>
          <a:avLst/>
          <a:gdLst/>
          <a:ahLst/>
          <a:cxnLst/>
          <a:rect l="0" t="0" r="0" b="0"/>
          <a:pathLst>
            <a:path w="1028700">
              <a:moveTo>
                <a:pt x="0" y="0"/>
              </a:moveTo>
              <a:lnTo>
                <a:pt x="102870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174625</xdr:colOff>
      <xdr:row>6</xdr:row>
      <xdr:rowOff>0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9898856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339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956309</xdr:colOff>
      <xdr:row>6</xdr:row>
      <xdr:rowOff>0</xdr:rowOff>
    </xdr:to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0" y="9908381"/>
          <a:ext cx="965834" cy="0"/>
        </a:xfrm>
        <a:custGeom>
          <a:avLst/>
          <a:gdLst/>
          <a:ahLst/>
          <a:cxnLst/>
          <a:rect l="0" t="0" r="0" b="0"/>
          <a:pathLst>
            <a:path w="930910">
              <a:moveTo>
                <a:pt x="0" y="0"/>
              </a:moveTo>
              <a:lnTo>
                <a:pt x="93091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974725</xdr:colOff>
      <xdr:row>6</xdr:row>
      <xdr:rowOff>0</xdr:rowOff>
    </xdr:to>
    <xdr:sp macro="" textlink="">
      <xdr:nvSpPr>
        <xdr:cNvPr id="11" name="Shape 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0" y="9917906"/>
          <a:ext cx="967105" cy="0"/>
        </a:xfrm>
        <a:custGeom>
          <a:avLst/>
          <a:gdLst/>
          <a:ahLst/>
          <a:cxnLst/>
          <a:rect l="0" t="0" r="0" b="0"/>
          <a:pathLst>
            <a:path w="932180">
              <a:moveTo>
                <a:pt x="0" y="0"/>
              </a:moveTo>
              <a:lnTo>
                <a:pt x="93218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415925</xdr:colOff>
      <xdr:row>6</xdr:row>
      <xdr:rowOff>0</xdr:rowOff>
    </xdr:to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81170110-4B36-4A12-85F5-2958CC68705C}"/>
            </a:ext>
          </a:extLst>
        </xdr:cNvPr>
        <xdr:cNvSpPr/>
      </xdr:nvSpPr>
      <xdr:spPr>
        <a:xfrm>
          <a:off x="0" y="1085850"/>
          <a:ext cx="415925" cy="0"/>
        </a:xfrm>
        <a:custGeom>
          <a:avLst/>
          <a:gdLst/>
          <a:ahLst/>
          <a:cxnLst/>
          <a:rect l="0" t="0" r="0" b="0"/>
          <a:pathLst>
            <a:path w="394335">
              <a:moveTo>
                <a:pt x="0" y="0"/>
              </a:moveTo>
              <a:lnTo>
                <a:pt x="394334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174625</xdr:colOff>
      <xdr:row>6</xdr:row>
      <xdr:rowOff>0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A96B5B8E-C129-4962-A147-A704C164E241}"/>
            </a:ext>
          </a:extLst>
        </xdr:cNvPr>
        <xdr:cNvSpPr/>
      </xdr:nvSpPr>
      <xdr:spPr>
        <a:xfrm>
          <a:off x="0" y="1085850"/>
          <a:ext cx="18415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339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1043940</xdr:colOff>
      <xdr:row>6</xdr:row>
      <xdr:rowOff>0</xdr:rowOff>
    </xdr:to>
    <xdr:sp macro="" textlink="">
      <xdr:nvSpPr>
        <xdr:cNvPr id="14" name="Shape 2">
          <a:extLst>
            <a:ext uri="{FF2B5EF4-FFF2-40B4-BE49-F238E27FC236}">
              <a16:creationId xmlns:a16="http://schemas.microsoft.com/office/drawing/2014/main" id="{789358F4-B702-476C-ABE5-FC46D43CDA68}"/>
            </a:ext>
          </a:extLst>
        </xdr:cNvPr>
        <xdr:cNvSpPr/>
      </xdr:nvSpPr>
      <xdr:spPr>
        <a:xfrm>
          <a:off x="0" y="1085850"/>
          <a:ext cx="1034415" cy="0"/>
        </a:xfrm>
        <a:custGeom>
          <a:avLst/>
          <a:gdLst/>
          <a:ahLst/>
          <a:cxnLst/>
          <a:rect l="0" t="0" r="0" b="0"/>
          <a:pathLst>
            <a:path w="932815">
              <a:moveTo>
                <a:pt x="0" y="0"/>
              </a:moveTo>
              <a:lnTo>
                <a:pt x="932815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701675</xdr:colOff>
      <xdr:row>6</xdr:row>
      <xdr:rowOff>0</xdr:rowOff>
    </xdr:to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C6857C96-6EA5-4B5C-A92E-DFFE7BB0A66F}"/>
            </a:ext>
          </a:extLst>
        </xdr:cNvPr>
        <xdr:cNvSpPr/>
      </xdr:nvSpPr>
      <xdr:spPr>
        <a:xfrm>
          <a:off x="0" y="1085850"/>
          <a:ext cx="692150" cy="0"/>
        </a:xfrm>
        <a:custGeom>
          <a:avLst/>
          <a:gdLst/>
          <a:ahLst/>
          <a:cxnLst/>
          <a:rect l="0" t="0" r="0" b="0"/>
          <a:pathLst>
            <a:path w="638810">
              <a:moveTo>
                <a:pt x="0" y="0"/>
              </a:moveTo>
              <a:lnTo>
                <a:pt x="63881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396240</xdr:colOff>
      <xdr:row>6</xdr:row>
      <xdr:rowOff>0</xdr:rowOff>
    </xdr:to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5D9B01E-7904-4D2B-869A-E3DB041A9435}"/>
            </a:ext>
          </a:extLst>
        </xdr:cNvPr>
        <xdr:cNvSpPr/>
      </xdr:nvSpPr>
      <xdr:spPr>
        <a:xfrm>
          <a:off x="0" y="1085850"/>
          <a:ext cx="386715" cy="0"/>
        </a:xfrm>
        <a:custGeom>
          <a:avLst/>
          <a:gdLst/>
          <a:ahLst/>
          <a:cxnLst/>
          <a:rect l="0" t="0" r="0" b="0"/>
          <a:pathLst>
            <a:path w="394335">
              <a:moveTo>
                <a:pt x="0" y="0"/>
              </a:moveTo>
              <a:lnTo>
                <a:pt x="394334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1120140</xdr:colOff>
      <xdr:row>6</xdr:row>
      <xdr:rowOff>0</xdr:rowOff>
    </xdr:to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F0C55747-96DE-47F4-BC98-FE45AF53A2B0}"/>
            </a:ext>
          </a:extLst>
        </xdr:cNvPr>
        <xdr:cNvSpPr/>
      </xdr:nvSpPr>
      <xdr:spPr>
        <a:xfrm>
          <a:off x="0" y="1085850"/>
          <a:ext cx="1114425" cy="0"/>
        </a:xfrm>
        <a:custGeom>
          <a:avLst/>
          <a:gdLst/>
          <a:ahLst/>
          <a:cxnLst/>
          <a:rect l="0" t="0" r="0" b="0"/>
          <a:pathLst>
            <a:path w="1028700">
              <a:moveTo>
                <a:pt x="0" y="0"/>
              </a:moveTo>
              <a:lnTo>
                <a:pt x="102870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174625</xdr:colOff>
      <xdr:row>6</xdr:row>
      <xdr:rowOff>0</xdr:rowOff>
    </xdr:to>
    <xdr:sp macro="" textlink="">
      <xdr:nvSpPr>
        <xdr:cNvPr id="18" name="Shape 6">
          <a:extLst>
            <a:ext uri="{FF2B5EF4-FFF2-40B4-BE49-F238E27FC236}">
              <a16:creationId xmlns:a16="http://schemas.microsoft.com/office/drawing/2014/main" id="{6DAB2718-A270-47DD-B151-0F828124B1FD}"/>
            </a:ext>
          </a:extLst>
        </xdr:cNvPr>
        <xdr:cNvSpPr/>
      </xdr:nvSpPr>
      <xdr:spPr>
        <a:xfrm>
          <a:off x="0" y="1085850"/>
          <a:ext cx="18415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339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1011554</xdr:colOff>
      <xdr:row>6</xdr:row>
      <xdr:rowOff>0</xdr:rowOff>
    </xdr:to>
    <xdr:sp macro="" textlink="">
      <xdr:nvSpPr>
        <xdr:cNvPr id="19" name="Shape 7">
          <a:extLst>
            <a:ext uri="{FF2B5EF4-FFF2-40B4-BE49-F238E27FC236}">
              <a16:creationId xmlns:a16="http://schemas.microsoft.com/office/drawing/2014/main" id="{49872E50-5284-46F6-91A6-68640B36E302}"/>
            </a:ext>
          </a:extLst>
        </xdr:cNvPr>
        <xdr:cNvSpPr/>
      </xdr:nvSpPr>
      <xdr:spPr>
        <a:xfrm>
          <a:off x="0" y="1085850"/>
          <a:ext cx="1003934" cy="0"/>
        </a:xfrm>
        <a:custGeom>
          <a:avLst/>
          <a:gdLst/>
          <a:ahLst/>
          <a:cxnLst/>
          <a:rect l="0" t="0" r="0" b="0"/>
          <a:pathLst>
            <a:path w="930910">
              <a:moveTo>
                <a:pt x="0" y="0"/>
              </a:moveTo>
              <a:lnTo>
                <a:pt x="93091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1031875</xdr:colOff>
      <xdr:row>6</xdr:row>
      <xdr:rowOff>0</xdr:rowOff>
    </xdr:to>
    <xdr:sp macro="" textlink="">
      <xdr:nvSpPr>
        <xdr:cNvPr id="20" name="Shape 8">
          <a:extLst>
            <a:ext uri="{FF2B5EF4-FFF2-40B4-BE49-F238E27FC236}">
              <a16:creationId xmlns:a16="http://schemas.microsoft.com/office/drawing/2014/main" id="{00053D85-59E6-433A-BFE3-3D6C63DDE0F8}"/>
            </a:ext>
          </a:extLst>
        </xdr:cNvPr>
        <xdr:cNvSpPr/>
      </xdr:nvSpPr>
      <xdr:spPr>
        <a:xfrm>
          <a:off x="0" y="1085850"/>
          <a:ext cx="1031875" cy="0"/>
        </a:xfrm>
        <a:custGeom>
          <a:avLst/>
          <a:gdLst/>
          <a:ahLst/>
          <a:cxnLst/>
          <a:rect l="0" t="0" r="0" b="0"/>
          <a:pathLst>
            <a:path w="932180">
              <a:moveTo>
                <a:pt x="0" y="0"/>
              </a:moveTo>
              <a:lnTo>
                <a:pt x="93218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26</xdr:col>
      <xdr:colOff>145392</xdr:colOff>
      <xdr:row>15</xdr:row>
      <xdr:rowOff>337439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8D40B0-0085-4965-B1A2-A9CD69AE8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0"/>
          <a:ext cx="6870042" cy="29853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9524</xdr:colOff>
      <xdr:row>9</xdr:row>
      <xdr:rowOff>85724</xdr:rowOff>
    </xdr:from>
    <xdr:to>
      <xdr:col>31</xdr:col>
      <xdr:colOff>594359</xdr:colOff>
      <xdr:row>28</xdr:row>
      <xdr:rowOff>37469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87B76-F8E5-4D8D-996B-61B8E8D23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89954" y="2992754"/>
          <a:ext cx="5836920" cy="340741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29</xdr:row>
      <xdr:rowOff>171450</xdr:rowOff>
    </xdr:from>
    <xdr:to>
      <xdr:col>35</xdr:col>
      <xdr:colOff>398902</xdr:colOff>
      <xdr:row>36</xdr:row>
      <xdr:rowOff>20955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F2A7A8-26E2-465B-A34B-455B978D5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05195" y="6711315"/>
          <a:ext cx="8249407" cy="1123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9524</xdr:colOff>
      <xdr:row>16</xdr:row>
      <xdr:rowOff>85724</xdr:rowOff>
    </xdr:from>
    <xdr:to>
      <xdr:col>31</xdr:col>
      <xdr:colOff>594359</xdr:colOff>
      <xdr:row>35</xdr:row>
      <xdr:rowOff>37469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2CFDC-0C7D-5E37-E1D0-83F06C92F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54649" y="3143249"/>
          <a:ext cx="5686425" cy="359029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36</xdr:row>
      <xdr:rowOff>171450</xdr:rowOff>
    </xdr:from>
    <xdr:to>
      <xdr:col>35</xdr:col>
      <xdr:colOff>364612</xdr:colOff>
      <xdr:row>43</xdr:row>
      <xdr:rowOff>26670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B29F82-D6D8-FE2A-A1F6-9557CAE1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73700" y="7058025"/>
          <a:ext cx="8047477" cy="1190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</xdr:colOff>
      <xdr:row>15</xdr:row>
      <xdr:rowOff>53340</xdr:rowOff>
    </xdr:from>
    <xdr:to>
      <xdr:col>11</xdr:col>
      <xdr:colOff>552453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558908-261F-0DEC-1BBC-FA81EC494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2796540"/>
          <a:ext cx="5695953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77232</xdr:colOff>
      <xdr:row>20</xdr:row>
      <xdr:rowOff>105295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F15B0C-3C9C-4AD6-996F-39F52D2D2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392432" cy="372479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</xdr:row>
      <xdr:rowOff>28575</xdr:rowOff>
    </xdr:from>
    <xdr:to>
      <xdr:col>18</xdr:col>
      <xdr:colOff>286295</xdr:colOff>
      <xdr:row>21</xdr:row>
      <xdr:rowOff>124370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410FC5-A235-442B-989F-FECD023F5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219075"/>
          <a:ext cx="3905795" cy="3905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114300</xdr:rowOff>
    </xdr:from>
    <xdr:to>
      <xdr:col>19</xdr:col>
      <xdr:colOff>173091</xdr:colOff>
      <xdr:row>45</xdr:row>
      <xdr:rowOff>67306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AAA6D9-FD5D-491F-8427-68A2243C9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114800"/>
          <a:ext cx="11755491" cy="4525006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47</xdr:row>
      <xdr:rowOff>180975</xdr:rowOff>
    </xdr:from>
    <xdr:to>
      <xdr:col>21</xdr:col>
      <xdr:colOff>77915</xdr:colOff>
      <xdr:row>69</xdr:row>
      <xdr:rowOff>38665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3884BC-3A90-467E-975C-74DC636DA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9134475"/>
          <a:ext cx="12288965" cy="40486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</xdr:colOff>
      <xdr:row>7</xdr:row>
      <xdr:rowOff>9525</xdr:rowOff>
    </xdr:from>
    <xdr:to>
      <xdr:col>30</xdr:col>
      <xdr:colOff>414374</xdr:colOff>
      <xdr:row>31</xdr:row>
      <xdr:rowOff>383644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C87D43-3C55-4531-A94F-5DEA5BC9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8950" y="1343025"/>
          <a:ext cx="7087589" cy="5296639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</xdr:colOff>
      <xdr:row>37</xdr:row>
      <xdr:rowOff>129540</xdr:rowOff>
    </xdr:from>
    <xdr:to>
      <xdr:col>25</xdr:col>
      <xdr:colOff>262890</xdr:colOff>
      <xdr:row>52</xdr:row>
      <xdr:rowOff>79591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449CB3-F3A8-D5C3-3828-8C2901DF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5440" y="7757160"/>
          <a:ext cx="6290310" cy="2820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72390</xdr:rowOff>
    </xdr:from>
    <xdr:to>
      <xdr:col>9</xdr:col>
      <xdr:colOff>1019174</xdr:colOff>
      <xdr:row>66</xdr:row>
      <xdr:rowOff>82619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9B41C0-23AE-31DA-E69F-5BCB3DB35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4130"/>
          <a:ext cx="10006964" cy="325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13</xdr:col>
      <xdr:colOff>1375995</xdr:colOff>
      <xdr:row>62</xdr:row>
      <xdr:rowOff>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CB84DF-D0E6-B314-AFDC-ACD6D894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2260" y="10111740"/>
          <a:ext cx="4191585" cy="24768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24</xdr:col>
      <xdr:colOff>175260</xdr:colOff>
      <xdr:row>28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47B52-4A43-4FA4-B555-87CB0AD7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6360" y="0"/>
          <a:ext cx="7551420" cy="512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670561</xdr:colOff>
      <xdr:row>16</xdr:row>
      <xdr:rowOff>99060</xdr:rowOff>
    </xdr:from>
    <xdr:to>
      <xdr:col>11</xdr:col>
      <xdr:colOff>754381</xdr:colOff>
      <xdr:row>28</xdr:row>
      <xdr:rowOff>107326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CB0026-A3AE-4182-A8D7-623B8A28C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0341" y="3025140"/>
          <a:ext cx="3482340" cy="22028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Nina%20Tu\Downloads\2020%20CBS%20LLC%20Profit%20Stat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3%20ACCOUNTING\ACCOUNTING%20WP\2601%20CRG%20WOODBURN%20LLC\Accounting%20WP\2010\WCS%20WP%2009-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Nina%20Tu\Downloads\2019%20CBS%20LLC%20Profit%20Stat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20 CBS LLC Profit Statement"/>
      <sheetName val="Dashboard"/>
      <sheetName val="Sales Revenue"/>
      <sheetName val="Material Costs"/>
    </sheetNames>
    <sheetDataSet>
      <sheetData sheetId="0" refreshError="1"/>
      <sheetData sheetId="1" refreshError="1"/>
      <sheetData sheetId="2">
        <row r="1">
          <cell r="B1" t="str">
            <v>Profit and Loss Statement</v>
          </cell>
        </row>
        <row r="2">
          <cell r="B2" t="str">
            <v>Choice Builder Solutions, LLC</v>
          </cell>
        </row>
      </sheetData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3-0"/>
      <sheetName val="3-1"/>
      <sheetName val="3-4"/>
      <sheetName val="3-10"/>
      <sheetName val="3-12"/>
      <sheetName val="4-1"/>
      <sheetName val="4-2"/>
      <sheetName val="4-4"/>
      <sheetName val="7-0"/>
      <sheetName val="7-2"/>
      <sheetName val="8-0"/>
      <sheetName val="9-2"/>
      <sheetName val="10-2"/>
      <sheetName val="10-4"/>
      <sheetName val="10-5"/>
      <sheetName val="10-6"/>
      <sheetName val="10-8"/>
      <sheetName val="12-0"/>
      <sheetName val="12-1"/>
      <sheetName val="15-1"/>
      <sheetName val="15-2"/>
      <sheetName val="16-0"/>
      <sheetName val="16-1"/>
      <sheetName val="18-6"/>
      <sheetName val="18-9"/>
      <sheetName val="18-10"/>
      <sheetName val="18-11"/>
      <sheetName val="18-12"/>
      <sheetName val="18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19 CBS LLC Profit Statement"/>
      <sheetName val="Dashboard"/>
      <sheetName val="Sales Revenue"/>
      <sheetName val="Material Costs"/>
    </sheetNames>
    <sheetDataSet>
      <sheetData sheetId="0" refreshError="1"/>
      <sheetData sheetId="1" refreshError="1"/>
      <sheetData sheetId="2">
        <row r="1">
          <cell r="B1" t="str">
            <v>Profit and Loss Statement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ikki Dela Cruz" id="{1CD0CEA8-F913-4E81-9E73-B3602E34345C}" userId="Nikki Dela Cruz" providerId="None"/>
  <person displayName="Jeffrey Lacambra" id="{B08C8076-B0D7-4166-B272-CFCE4DF6B540}" userId="S::jeff@auracfo.com::ed2a6c81-02de-476a-897d-2255256bbb51" providerId="AD"/>
  <person displayName="Janet Koy" id="{016622B8-E1AE-438B-8CF7-AAB5227C3156}" userId="S::janet@auracfo.com::eb954290-5932-4cc0-b6df-77538f3975b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4" dT="2023-12-01T20:57:45.30" personId="{016622B8-E1AE-438B-8CF7-AAB5227C3156}" id="{AD87A478-56CC-47A8-8715-A3D18EEBADBA}">
    <text>Sold for 1k (PAS)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3" dT="2022-11-15T22:12:50.16" personId="{1CD0CEA8-F913-4E81-9E73-B3602E34345C}" id="{1688AA07-144F-4F6B-B17C-9F7CCD3F238D}">
    <text>Is Rebecca Smith part of this group</text>
  </threadedComment>
  <threadedComment ref="E31" dT="2022-11-15T19:47:02.12" personId="{1CD0CEA8-F913-4E81-9E73-B3602E34345C}" id="{BFBF3BA7-C43E-4B85-8C61-5E1ADB6FCE6D}">
    <text xml:space="preserve">Cancelled. Need to check for money going back
</text>
  </threadedComment>
  <threadedComment ref="C42" dT="2023-04-11T21:24:49.30" personId="{B08C8076-B0D7-4166-B272-CFCE4DF6B540}" id="{0FAE47DA-3AE0-4E4E-8CFE-3AC304BD91D8}">
    <text xml:space="preserve">Membership starts 4/1 but deposit was 3/7/2023 included deposit to match Spreadsheet to QB
</text>
  </threadedComment>
  <threadedComment ref="E44" dT="2023-05-15T18:56:56.03" personId="{B08C8076-B0D7-4166-B272-CFCE4DF6B540}" id="{A43FFD83-DF10-4797-B764-9D6B794F929B}">
    <text>Todd Fox prepaid 1 year membership starting in June but paid in April</text>
  </threadedComment>
  <threadedComment ref="E52" dT="2023-06-05T22:52:25.72" personId="{B08C8076-B0D7-4166-B272-CFCE4DF6B540}" id="{CAEDE29C-DF12-46BD-8BFC-845FA1AAEEED}">
    <text>Paid half Initiation and owes $12,250 6/15/2024 only recognizing 30 months for this half of Initiation fees</text>
  </threadedComment>
  <threadedComment ref="E57" dT="2023-09-14T23:59:08.61" personId="{B08C8076-B0D7-4166-B272-CFCE4DF6B540}" id="{5DE51000-16EC-47D5-94DB-F489478F0297}">
    <text>Paying half of $22500 in 2023 and other 50% in 2024.
For 2023 Deposit will amortize for 30 months
For 2024 deposit will amortize for second 30 month starting after first deposit is fully recognized</text>
  </threadedComment>
  <threadedComment ref="E66" dT="2024-01-08T20:23:42.94" personId="{B08C8076-B0D7-4166-B272-CFCE4DF6B540}" id="{C61DFB7B-F500-4CBE-8A3B-17AE8032F4D8}">
    <text xml:space="preserve">Prepaid for 2024 Dues will start in JAN
</text>
  </threadedComment>
  <threadedComment ref="E79" dT="2024-05-10T18:02:17.26" personId="{B08C8076-B0D7-4166-B272-CFCE4DF6B540}" id="{51CE8EA7-2F84-44AE-8E33-FD8658432C23}">
    <text xml:space="preserve">DOESN"T START till JUNE 24
</text>
  </threadedComment>
  <threadedComment ref="E80" dT="2024-06-07T00:26:03.75" personId="{B08C8076-B0D7-4166-B272-CFCE4DF6B540}" id="{992674C4-E2BA-4C7C-9F42-B34B3BD276C4}">
    <text>Second portion of Iniation fees from 5/23. 
Will start recognized after first 30 months have been recognized</text>
  </threadedComment>
  <threadedComment ref="E101" dT="2025-02-11T00:55:12.72" personId="{B08C8076-B0D7-4166-B272-CFCE4DF6B540}" id="{DCA765E2-4AD5-4A65-9B8D-DBDC2AD2CE1F}">
    <text xml:space="preserve">Downgraded memberhsip initiation fees total went from $18k to $10k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B594-7DE8-46EB-AE20-81DF6BBD56CC}">
  <sheetPr>
    <pageSetUpPr fitToPage="1"/>
  </sheetPr>
  <dimension ref="A1:I38"/>
  <sheetViews>
    <sheetView workbookViewId="0">
      <selection sqref="A1:F1"/>
    </sheetView>
  </sheetViews>
  <sheetFormatPr defaultColWidth="12.44140625" defaultRowHeight="15" x14ac:dyDescent="0.25"/>
  <cols>
    <col min="1" max="1" width="43.44140625" style="97" customWidth="1"/>
    <col min="2" max="2" width="28.109375" style="97" customWidth="1"/>
    <col min="3" max="3" width="38.33203125" style="97" customWidth="1"/>
    <col min="4" max="4" width="26.5546875" style="97" customWidth="1"/>
    <col min="5" max="5" width="6" style="97" customWidth="1"/>
    <col min="6" max="6" width="30.5546875" style="97" customWidth="1"/>
    <col min="7" max="7" width="14" style="97" customWidth="1"/>
    <col min="8" max="8" width="11.5546875" style="97" customWidth="1"/>
    <col min="9" max="9" width="3.44140625" style="97" customWidth="1"/>
    <col min="10" max="16384" width="12.44140625" style="97"/>
  </cols>
  <sheetData>
    <row r="1" spans="1:9" ht="47.25" customHeight="1" thickTop="1" thickBot="1" x14ac:dyDescent="0.55000000000000004">
      <c r="A1" s="418" t="s">
        <v>78</v>
      </c>
      <c r="B1" s="419"/>
      <c r="C1" s="419"/>
      <c r="D1" s="419"/>
      <c r="E1" s="419"/>
      <c r="F1" s="419"/>
      <c r="G1" s="194"/>
      <c r="H1" s="193"/>
    </row>
    <row r="2" spans="1:9" ht="11.25" customHeight="1" thickTop="1" x14ac:dyDescent="0.25">
      <c r="A2" s="158"/>
      <c r="F2" s="192"/>
      <c r="G2" s="191"/>
    </row>
    <row r="3" spans="1:9" x14ac:dyDescent="0.25">
      <c r="A3" s="158"/>
      <c r="D3" s="137"/>
      <c r="G3" s="157"/>
    </row>
    <row r="4" spans="1:9" ht="30" customHeight="1" x14ac:dyDescent="0.4">
      <c r="A4" s="159" t="s">
        <v>77</v>
      </c>
      <c r="B4" s="104"/>
      <c r="C4" s="190" t="s">
        <v>76</v>
      </c>
      <c r="D4" s="189"/>
      <c r="E4" s="108"/>
      <c r="F4" s="108"/>
      <c r="G4" s="157"/>
    </row>
    <row r="5" spans="1:9" ht="30" customHeight="1" x14ac:dyDescent="0.35">
      <c r="A5" s="158"/>
      <c r="B5" s="137"/>
      <c r="C5" s="163"/>
      <c r="D5" s="188"/>
      <c r="E5" s="137"/>
      <c r="F5" s="137"/>
      <c r="G5" s="171"/>
      <c r="H5" s="137"/>
    </row>
    <row r="6" spans="1:9" ht="30" customHeight="1" x14ac:dyDescent="0.4">
      <c r="A6" s="159" t="s">
        <v>75</v>
      </c>
      <c r="B6" s="187"/>
      <c r="C6" s="186">
        <v>45474</v>
      </c>
      <c r="D6" s="185"/>
      <c r="E6" s="137"/>
      <c r="F6" s="137"/>
      <c r="G6" s="171"/>
      <c r="H6" s="137"/>
    </row>
    <row r="7" spans="1:9" ht="30" customHeight="1" x14ac:dyDescent="0.25">
      <c r="A7" s="158"/>
      <c r="C7" s="184"/>
      <c r="D7" s="184"/>
      <c r="G7" s="157"/>
    </row>
    <row r="8" spans="1:9" ht="30" customHeight="1" x14ac:dyDescent="0.25">
      <c r="A8" s="158"/>
      <c r="B8" s="137"/>
      <c r="C8" s="137"/>
      <c r="D8" s="137"/>
      <c r="G8" s="157"/>
    </row>
    <row r="9" spans="1:9" ht="30" customHeight="1" x14ac:dyDescent="0.25">
      <c r="A9" s="158"/>
      <c r="B9" s="137"/>
      <c r="C9" s="137"/>
      <c r="E9" s="137"/>
      <c r="F9" s="137"/>
      <c r="G9" s="171"/>
      <c r="H9" s="137"/>
    </row>
    <row r="10" spans="1:9" ht="30" customHeight="1" x14ac:dyDescent="0.4">
      <c r="A10" s="420" t="s">
        <v>74</v>
      </c>
      <c r="B10" s="421"/>
      <c r="C10" s="421"/>
      <c r="D10" s="183"/>
      <c r="G10" s="157"/>
    </row>
    <row r="11" spans="1:9" ht="24.9" customHeight="1" x14ac:dyDescent="0.25">
      <c r="A11" s="158"/>
      <c r="D11" s="183"/>
      <c r="G11" s="157"/>
    </row>
    <row r="12" spans="1:9" s="166" customFormat="1" ht="30" customHeight="1" x14ac:dyDescent="0.4">
      <c r="A12" s="182"/>
      <c r="D12" s="168" t="s">
        <v>67</v>
      </c>
      <c r="E12" s="169"/>
      <c r="F12" s="168" t="s">
        <v>66</v>
      </c>
      <c r="G12" s="181"/>
      <c r="H12" s="168"/>
    </row>
    <row r="13" spans="1:9" s="160" customFormat="1" ht="30" customHeight="1" x14ac:dyDescent="0.35">
      <c r="A13" s="164" t="s">
        <v>73</v>
      </c>
      <c r="D13" s="180" t="s">
        <v>72</v>
      </c>
      <c r="E13" s="179"/>
      <c r="F13" s="178"/>
      <c r="G13" s="172"/>
      <c r="H13" s="163"/>
      <c r="I13" s="163"/>
    </row>
    <row r="14" spans="1:9" s="160" customFormat="1" ht="24.9" customHeight="1" x14ac:dyDescent="0.35">
      <c r="A14" s="164"/>
      <c r="D14" s="175"/>
      <c r="E14" s="163"/>
      <c r="F14" s="175"/>
      <c r="G14" s="172"/>
      <c r="H14" s="163"/>
      <c r="I14" s="163"/>
    </row>
    <row r="15" spans="1:9" s="160" customFormat="1" ht="30" customHeight="1" x14ac:dyDescent="0.35">
      <c r="A15" s="164" t="s">
        <v>71</v>
      </c>
      <c r="D15" s="177"/>
      <c r="E15" s="174"/>
      <c r="F15" s="176"/>
      <c r="G15" s="172"/>
      <c r="H15" s="163"/>
    </row>
    <row r="16" spans="1:9" s="160" customFormat="1" ht="24.9" customHeight="1" x14ac:dyDescent="0.35">
      <c r="A16" s="164"/>
      <c r="D16" s="175"/>
      <c r="E16" s="163"/>
      <c r="F16" s="175"/>
      <c r="G16" s="172"/>
      <c r="H16" s="163"/>
    </row>
    <row r="17" spans="1:9" s="160" customFormat="1" ht="30" customHeight="1" x14ac:dyDescent="0.35">
      <c r="A17" s="164" t="s">
        <v>70</v>
      </c>
      <c r="D17" s="173"/>
      <c r="E17" s="174"/>
      <c r="F17" s="173"/>
      <c r="G17" s="172"/>
      <c r="H17" s="163"/>
      <c r="I17" s="163"/>
    </row>
    <row r="18" spans="1:9" s="160" customFormat="1" ht="24.9" customHeight="1" x14ac:dyDescent="0.35">
      <c r="A18" s="164"/>
      <c r="D18" s="163"/>
      <c r="E18" s="163"/>
      <c r="F18" s="163"/>
      <c r="G18" s="172"/>
      <c r="H18" s="163"/>
    </row>
    <row r="19" spans="1:9" s="160" customFormat="1" ht="30" customHeight="1" x14ac:dyDescent="0.35">
      <c r="A19" s="164" t="s">
        <v>69</v>
      </c>
      <c r="D19" s="173"/>
      <c r="E19" s="174"/>
      <c r="F19" s="173"/>
      <c r="G19" s="172"/>
      <c r="H19" s="163"/>
      <c r="I19" s="163"/>
    </row>
    <row r="20" spans="1:9" ht="30" customHeight="1" x14ac:dyDescent="0.25">
      <c r="A20" s="158"/>
      <c r="B20" s="137"/>
      <c r="C20" s="137"/>
      <c r="E20" s="137"/>
      <c r="F20" s="137"/>
      <c r="G20" s="171"/>
      <c r="H20" s="137"/>
    </row>
    <row r="21" spans="1:9" ht="30" customHeight="1" x14ac:dyDescent="0.4">
      <c r="A21" s="420" t="s">
        <v>68</v>
      </c>
      <c r="B21" s="422"/>
      <c r="C21" s="422"/>
      <c r="G21" s="157"/>
    </row>
    <row r="22" spans="1:9" s="166" customFormat="1" ht="30" customHeight="1" x14ac:dyDescent="0.4">
      <c r="A22" s="170"/>
      <c r="D22" s="168" t="s">
        <v>67</v>
      </c>
      <c r="E22" s="169"/>
      <c r="F22" s="168" t="s">
        <v>66</v>
      </c>
      <c r="G22" s="167"/>
    </row>
    <row r="23" spans="1:9" s="160" customFormat="1" ht="30" customHeight="1" x14ac:dyDescent="0.35">
      <c r="A23" s="164" t="s">
        <v>65</v>
      </c>
      <c r="B23" s="165"/>
      <c r="C23" s="165"/>
      <c r="D23" s="162"/>
      <c r="F23" s="162"/>
      <c r="G23" s="161"/>
    </row>
    <row r="24" spans="1:9" s="160" customFormat="1" ht="24.9" customHeight="1" x14ac:dyDescent="0.35">
      <c r="A24" s="164"/>
      <c r="B24" s="163"/>
      <c r="C24" s="163"/>
      <c r="G24" s="161"/>
    </row>
    <row r="25" spans="1:9" s="160" customFormat="1" ht="30" customHeight="1" x14ac:dyDescent="0.35">
      <c r="A25" s="164" t="s">
        <v>64</v>
      </c>
      <c r="B25" s="165"/>
      <c r="C25" s="165"/>
      <c r="D25" s="162"/>
      <c r="F25" s="162"/>
      <c r="G25" s="161"/>
    </row>
    <row r="26" spans="1:9" s="160" customFormat="1" ht="24.9" customHeight="1" x14ac:dyDescent="0.35">
      <c r="A26" s="164"/>
      <c r="B26" s="163"/>
      <c r="C26" s="163"/>
      <c r="G26" s="161"/>
    </row>
    <row r="27" spans="1:9" s="160" customFormat="1" ht="30" customHeight="1" x14ac:dyDescent="0.35">
      <c r="A27" s="164" t="s">
        <v>63</v>
      </c>
      <c r="B27" s="163"/>
      <c r="C27" s="163"/>
      <c r="D27" s="162"/>
      <c r="F27" s="162"/>
      <c r="G27" s="161"/>
    </row>
    <row r="28" spans="1:9" s="160" customFormat="1" ht="24.9" customHeight="1" x14ac:dyDescent="0.35">
      <c r="A28" s="164"/>
      <c r="B28" s="163"/>
      <c r="C28" s="163"/>
      <c r="G28" s="161"/>
    </row>
    <row r="29" spans="1:9" s="160" customFormat="1" ht="30" customHeight="1" x14ac:dyDescent="0.35">
      <c r="A29" s="164" t="s">
        <v>62</v>
      </c>
      <c r="B29" s="163"/>
      <c r="C29" s="163"/>
      <c r="D29" s="162"/>
      <c r="F29" s="162"/>
      <c r="G29" s="161"/>
    </row>
    <row r="30" spans="1:9" ht="30" customHeight="1" x14ac:dyDescent="0.25">
      <c r="A30" s="158"/>
      <c r="B30" s="137"/>
      <c r="C30" s="137"/>
      <c r="G30" s="157"/>
    </row>
    <row r="31" spans="1:9" ht="30" customHeight="1" x14ac:dyDescent="0.4">
      <c r="A31" s="159" t="s">
        <v>61</v>
      </c>
      <c r="G31" s="157"/>
    </row>
    <row r="32" spans="1:9" ht="30" customHeight="1" x14ac:dyDescent="0.25">
      <c r="A32" s="158"/>
      <c r="B32" s="108"/>
      <c r="C32" s="108"/>
      <c r="D32" s="108"/>
      <c r="E32" s="108"/>
      <c r="G32" s="157"/>
    </row>
    <row r="33" spans="1:7" ht="30" customHeight="1" x14ac:dyDescent="0.25">
      <c r="A33" s="158"/>
      <c r="B33" s="108"/>
      <c r="C33" s="108"/>
      <c r="D33" s="108"/>
      <c r="E33" s="108"/>
      <c r="F33" s="101"/>
      <c r="G33" s="157"/>
    </row>
    <row r="34" spans="1:7" ht="30" customHeight="1" x14ac:dyDescent="0.25">
      <c r="A34" s="158"/>
      <c r="B34" s="108"/>
      <c r="C34" s="108"/>
      <c r="D34" s="108"/>
      <c r="E34" s="108"/>
      <c r="F34" s="106"/>
      <c r="G34" s="157"/>
    </row>
    <row r="35" spans="1:7" ht="30" customHeight="1" x14ac:dyDescent="0.25">
      <c r="A35" s="158"/>
      <c r="B35" s="108"/>
      <c r="C35" s="108"/>
      <c r="D35" s="108"/>
      <c r="E35" s="108"/>
      <c r="F35" s="106"/>
      <c r="G35" s="157"/>
    </row>
    <row r="36" spans="1:7" ht="30" customHeight="1" x14ac:dyDescent="0.25">
      <c r="A36" s="158"/>
      <c r="B36" s="108"/>
      <c r="C36" s="108"/>
      <c r="D36" s="108"/>
      <c r="E36" s="108"/>
      <c r="F36" s="108"/>
      <c r="G36" s="157"/>
    </row>
    <row r="37" spans="1:7" ht="24.9" customHeight="1" thickBot="1" x14ac:dyDescent="0.35">
      <c r="A37" s="156"/>
      <c r="B37" s="155"/>
      <c r="C37" s="155"/>
      <c r="D37" s="155"/>
      <c r="E37" s="155"/>
      <c r="F37" s="155"/>
      <c r="G37" s="154"/>
    </row>
    <row r="38" spans="1:7" ht="15.6" thickTop="1" x14ac:dyDescent="0.25"/>
  </sheetData>
  <mergeCells count="3">
    <mergeCell ref="A1:F1"/>
    <mergeCell ref="A10:C10"/>
    <mergeCell ref="A21:C21"/>
  </mergeCells>
  <printOptions horizontalCentered="1"/>
  <pageMargins left="0.5" right="0.5" top="0.75" bottom="0.5" header="0.5" footer="0.5"/>
  <pageSetup scale="5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6093-D73F-40F1-8DC1-3E3A7B8E74BD}">
  <sheetPr>
    <pageSetUpPr fitToPage="1"/>
  </sheetPr>
  <dimension ref="A1:L61"/>
  <sheetViews>
    <sheetView workbookViewId="0"/>
  </sheetViews>
  <sheetFormatPr defaultColWidth="12.44140625" defaultRowHeight="15" x14ac:dyDescent="0.25"/>
  <cols>
    <col min="1" max="1" width="9.5546875" style="86" customWidth="1"/>
    <col min="2" max="2" width="15.44140625" style="86" customWidth="1"/>
    <col min="3" max="3" width="28.5546875" style="88" customWidth="1"/>
    <col min="4" max="4" width="25.44140625" style="86" customWidth="1"/>
    <col min="5" max="5" width="20.109375" style="87" customWidth="1"/>
    <col min="6" max="6" width="13.6640625" style="87" customWidth="1"/>
    <col min="7" max="7" width="13.88671875" style="86" customWidth="1"/>
    <col min="8" max="8" width="3" style="86" customWidth="1"/>
    <col min="9" max="9" width="12.44140625" style="86"/>
    <col min="10" max="10" width="12.6640625" style="86" bestFit="1" customWidth="1"/>
    <col min="11" max="16384" width="12.44140625" style="86"/>
  </cols>
  <sheetData>
    <row r="1" spans="1:8" s="137" customFormat="1" ht="21.75" customHeight="1" x14ac:dyDescent="0.25">
      <c r="E1" s="150" t="s">
        <v>60</v>
      </c>
      <c r="F1" s="423">
        <f ca="1">NOW()</f>
        <v>46065.348405208337</v>
      </c>
      <c r="G1" s="424"/>
      <c r="H1" s="153"/>
    </row>
    <row r="2" spans="1:8" s="137" customFormat="1" ht="21.75" customHeight="1" x14ac:dyDescent="0.25">
      <c r="E2" s="150" t="s">
        <v>59</v>
      </c>
      <c r="F2" s="152" t="str">
        <f>Docket!D13</f>
        <v>XY</v>
      </c>
      <c r="G2" s="151">
        <f ca="1">NOW()</f>
        <v>46065.348405208337</v>
      </c>
    </row>
    <row r="3" spans="1:8" s="137" customFormat="1" ht="21.75" customHeight="1" x14ac:dyDescent="0.25">
      <c r="E3" s="150" t="s">
        <v>58</v>
      </c>
      <c r="F3" s="149"/>
      <c r="G3" s="149"/>
    </row>
    <row r="4" spans="1:8" s="147" customFormat="1" x14ac:dyDescent="0.3">
      <c r="F4" s="148" t="s">
        <v>57</v>
      </c>
      <c r="G4" s="148" t="s">
        <v>8</v>
      </c>
    </row>
    <row r="5" spans="1:8" s="146" customFormat="1" ht="18.75" customHeight="1" x14ac:dyDescent="0.3">
      <c r="A5" s="433" t="str">
        <f>+Docket!C4</f>
        <v xml:space="preserve">Aura </v>
      </c>
      <c r="B5" s="433"/>
      <c r="C5" s="433"/>
      <c r="D5" s="433"/>
      <c r="E5" s="433"/>
      <c r="F5" s="433"/>
      <c r="G5" s="433"/>
    </row>
    <row r="6" spans="1:8" s="146" customFormat="1" ht="18.75" customHeight="1" x14ac:dyDescent="0.3">
      <c r="A6" s="434" t="s">
        <v>56</v>
      </c>
      <c r="B6" s="434"/>
      <c r="C6" s="434"/>
      <c r="D6" s="434"/>
      <c r="E6" s="434"/>
      <c r="F6" s="434"/>
      <c r="G6" s="434"/>
    </row>
    <row r="7" spans="1:8" s="137" customFormat="1" ht="8.25" customHeight="1" x14ac:dyDescent="0.25">
      <c r="E7" s="138"/>
      <c r="F7" s="138"/>
    </row>
    <row r="8" spans="1:8" s="137" customFormat="1" ht="17.399999999999999" x14ac:dyDescent="0.3">
      <c r="A8" s="145" t="s">
        <v>55</v>
      </c>
      <c r="B8" s="144"/>
      <c r="C8" s="143">
        <f>+Docket!C6</f>
        <v>45474</v>
      </c>
      <c r="E8" s="142"/>
      <c r="F8" s="138"/>
    </row>
    <row r="9" spans="1:8" s="137" customFormat="1" ht="18.75" customHeight="1" thickBot="1" x14ac:dyDescent="0.3">
      <c r="A9" s="432"/>
      <c r="B9" s="432"/>
      <c r="C9" s="141"/>
      <c r="D9" s="139"/>
      <c r="E9" s="140"/>
      <c r="F9" s="140"/>
      <c r="G9" s="139"/>
      <c r="H9" s="139"/>
    </row>
    <row r="10" spans="1:8" s="137" customFormat="1" ht="11.25" customHeight="1" x14ac:dyDescent="0.25">
      <c r="E10" s="138"/>
      <c r="F10" s="138"/>
    </row>
    <row r="11" spans="1:8" s="100" customFormat="1" ht="15.6" x14ac:dyDescent="0.3">
      <c r="A11" s="136" t="s">
        <v>54</v>
      </c>
      <c r="F11" s="98"/>
      <c r="G11" s="98"/>
    </row>
    <row r="12" spans="1:8" s="100" customFormat="1" ht="9" customHeight="1" x14ac:dyDescent="0.3">
      <c r="F12" s="98"/>
      <c r="G12" s="98"/>
    </row>
    <row r="13" spans="1:8" s="100" customFormat="1" ht="9.75" customHeight="1" thickBot="1" x14ac:dyDescent="0.35">
      <c r="A13" s="135"/>
      <c r="B13" s="134"/>
      <c r="C13" s="134"/>
      <c r="D13" s="104"/>
      <c r="E13" s="97"/>
      <c r="F13" s="97"/>
      <c r="G13" s="97"/>
    </row>
    <row r="14" spans="1:8" s="100" customFormat="1" ht="16.2" thickBot="1" x14ac:dyDescent="0.35">
      <c r="B14" s="133" t="s">
        <v>53</v>
      </c>
      <c r="C14" s="132" t="s">
        <v>52</v>
      </c>
      <c r="D14" s="131" t="s">
        <v>44</v>
      </c>
      <c r="E14" s="130"/>
      <c r="F14" s="130"/>
      <c r="G14" s="129"/>
    </row>
    <row r="15" spans="1:8" s="119" customFormat="1" ht="16.5" customHeight="1" x14ac:dyDescent="0.3">
      <c r="A15" s="125"/>
      <c r="B15" s="124"/>
      <c r="C15" s="123"/>
      <c r="D15" s="425"/>
      <c r="E15" s="426"/>
      <c r="F15" s="426"/>
      <c r="G15" s="427"/>
    </row>
    <row r="16" spans="1:8" s="119" customFormat="1" ht="138" customHeight="1" x14ac:dyDescent="0.3">
      <c r="A16" s="125"/>
      <c r="B16" s="124">
        <v>1126</v>
      </c>
      <c r="C16" s="128" t="s">
        <v>51</v>
      </c>
      <c r="D16" s="425"/>
      <c r="E16" s="426"/>
      <c r="F16" s="426"/>
      <c r="G16" s="427"/>
    </row>
    <row r="17" spans="1:12" s="119" customFormat="1" ht="16.5" customHeight="1" x14ac:dyDescent="0.3">
      <c r="A17" s="125"/>
      <c r="B17" s="124"/>
      <c r="C17" s="123"/>
      <c r="D17" s="425"/>
      <c r="E17" s="426"/>
      <c r="F17" s="426"/>
      <c r="G17" s="427"/>
    </row>
    <row r="18" spans="1:12" s="119" customFormat="1" ht="184.5" customHeight="1" x14ac:dyDescent="0.3">
      <c r="A18" s="125"/>
      <c r="B18" s="124">
        <v>1128</v>
      </c>
      <c r="C18" s="128" t="s">
        <v>50</v>
      </c>
      <c r="D18" s="425"/>
      <c r="E18" s="426"/>
      <c r="F18" s="426"/>
      <c r="G18" s="427"/>
    </row>
    <row r="19" spans="1:12" s="119" customFormat="1" ht="16.5" customHeight="1" x14ac:dyDescent="0.3">
      <c r="A19" s="125"/>
      <c r="B19" s="124"/>
      <c r="C19" s="123"/>
      <c r="D19" s="425"/>
      <c r="E19" s="426"/>
      <c r="F19" s="426"/>
      <c r="G19" s="427"/>
    </row>
    <row r="20" spans="1:12" s="119" customFormat="1" ht="77.25" customHeight="1" x14ac:dyDescent="0.3">
      <c r="A20" s="125"/>
      <c r="B20" s="124">
        <v>1155</v>
      </c>
      <c r="C20" s="128"/>
      <c r="D20" s="425"/>
      <c r="E20" s="426"/>
      <c r="F20" s="426"/>
      <c r="G20" s="427"/>
      <c r="I20" s="426"/>
      <c r="J20" s="426"/>
      <c r="K20" s="426"/>
      <c r="L20" s="426"/>
    </row>
    <row r="21" spans="1:12" s="119" customFormat="1" ht="16.5" customHeight="1" x14ac:dyDescent="0.3">
      <c r="A21" s="125"/>
      <c r="B21" s="124"/>
      <c r="C21" s="123"/>
      <c r="D21" s="425"/>
      <c r="E21" s="426"/>
      <c r="F21" s="426"/>
      <c r="G21" s="427"/>
    </row>
    <row r="22" spans="1:12" s="119" customFormat="1" ht="42" customHeight="1" x14ac:dyDescent="0.3">
      <c r="A22" s="125"/>
      <c r="B22" s="124">
        <v>1163</v>
      </c>
      <c r="C22" s="128"/>
      <c r="D22" s="425"/>
      <c r="E22" s="426"/>
      <c r="F22" s="426"/>
      <c r="G22" s="427"/>
    </row>
    <row r="23" spans="1:12" s="119" customFormat="1" ht="16.5" customHeight="1" x14ac:dyDescent="0.3">
      <c r="A23" s="125"/>
      <c r="B23" s="124"/>
      <c r="C23" s="123"/>
      <c r="D23" s="425"/>
      <c r="E23" s="426"/>
      <c r="F23" s="426"/>
      <c r="G23" s="427"/>
    </row>
    <row r="24" spans="1:12" s="119" customFormat="1" ht="130.5" customHeight="1" x14ac:dyDescent="0.25">
      <c r="A24" s="125"/>
      <c r="B24" s="124">
        <v>1875</v>
      </c>
      <c r="C24" s="127" t="s">
        <v>49</v>
      </c>
      <c r="D24" s="425"/>
      <c r="E24" s="426"/>
      <c r="F24" s="426"/>
      <c r="G24" s="427"/>
      <c r="H24" s="126"/>
    </row>
    <row r="25" spans="1:12" s="119" customFormat="1" ht="16.5" customHeight="1" x14ac:dyDescent="0.3">
      <c r="A25" s="125"/>
      <c r="B25" s="124"/>
      <c r="C25" s="123"/>
      <c r="D25" s="425"/>
      <c r="E25" s="426"/>
      <c r="F25" s="426"/>
      <c r="G25" s="427"/>
    </row>
    <row r="26" spans="1:12" s="119" customFormat="1" ht="49.5" customHeight="1" x14ac:dyDescent="0.3">
      <c r="A26" s="125"/>
      <c r="B26" s="124">
        <v>2036</v>
      </c>
      <c r="C26" s="123" t="s">
        <v>48</v>
      </c>
      <c r="D26" s="425"/>
      <c r="E26" s="426"/>
      <c r="F26" s="426"/>
      <c r="G26" s="427"/>
    </row>
    <row r="27" spans="1:12" s="119" customFormat="1" ht="16.5" customHeight="1" x14ac:dyDescent="0.3">
      <c r="A27" s="125"/>
      <c r="B27" s="124"/>
      <c r="C27" s="123"/>
      <c r="D27" s="425"/>
      <c r="E27" s="426"/>
      <c r="F27" s="426"/>
      <c r="G27" s="427"/>
    </row>
    <row r="28" spans="1:12" s="119" customFormat="1" ht="55.5" customHeight="1" x14ac:dyDescent="0.3">
      <c r="A28" s="125"/>
      <c r="B28" s="124">
        <v>2038</v>
      </c>
      <c r="C28" s="123" t="s">
        <v>47</v>
      </c>
      <c r="D28" s="425"/>
      <c r="E28" s="426"/>
      <c r="F28" s="426"/>
      <c r="G28" s="427"/>
    </row>
    <row r="29" spans="1:12" s="119" customFormat="1" ht="16.5" customHeight="1" x14ac:dyDescent="0.3">
      <c r="A29" s="125"/>
      <c r="B29" s="124"/>
      <c r="C29" s="123"/>
      <c r="D29" s="122"/>
      <c r="E29" s="121"/>
      <c r="F29" s="121"/>
      <c r="G29" s="120"/>
    </row>
    <row r="30" spans="1:12" s="119" customFormat="1" ht="16.5" customHeight="1" x14ac:dyDescent="0.3">
      <c r="A30" s="125"/>
      <c r="B30" s="124"/>
      <c r="C30" s="123"/>
      <c r="D30" s="122"/>
      <c r="E30" s="121"/>
      <c r="F30" s="121"/>
      <c r="G30" s="120"/>
    </row>
    <row r="31" spans="1:12" s="119" customFormat="1" ht="16.5" customHeight="1" x14ac:dyDescent="0.3">
      <c r="A31" s="125"/>
      <c r="B31" s="124"/>
      <c r="C31" s="123"/>
      <c r="D31" s="122"/>
      <c r="E31" s="121"/>
      <c r="F31" s="121"/>
      <c r="G31" s="120"/>
    </row>
    <row r="32" spans="1:12" s="119" customFormat="1" ht="16.5" customHeight="1" x14ac:dyDescent="0.3">
      <c r="A32" s="125"/>
      <c r="B32" s="124"/>
      <c r="C32" s="123"/>
      <c r="D32" s="122"/>
      <c r="E32" s="121"/>
      <c r="F32" s="121"/>
      <c r="G32" s="120"/>
    </row>
    <row r="33" spans="1:9" s="112" customFormat="1" ht="16.5" customHeight="1" x14ac:dyDescent="0.3">
      <c r="A33" s="116"/>
      <c r="B33" s="118"/>
      <c r="C33" s="117"/>
      <c r="D33" s="429"/>
      <c r="E33" s="430"/>
      <c r="F33" s="430"/>
      <c r="G33" s="431"/>
    </row>
    <row r="34" spans="1:9" s="112" customFormat="1" ht="16.5" customHeight="1" thickBot="1" x14ac:dyDescent="0.35">
      <c r="A34" s="116"/>
      <c r="B34" s="115"/>
      <c r="C34" s="114"/>
      <c r="D34" s="429"/>
      <c r="E34" s="430"/>
      <c r="F34" s="430"/>
      <c r="G34" s="431"/>
      <c r="I34" s="113"/>
    </row>
    <row r="35" spans="1:9" s="100" customFormat="1" ht="9.75" customHeight="1" x14ac:dyDescent="0.3">
      <c r="A35" s="96"/>
      <c r="B35" s="110"/>
      <c r="C35" s="110"/>
      <c r="D35" s="111"/>
      <c r="E35" s="110"/>
      <c r="F35" s="110"/>
      <c r="G35" s="110"/>
    </row>
    <row r="36" spans="1:9" s="100" customFormat="1" ht="21.75" customHeight="1" x14ac:dyDescent="0.3">
      <c r="A36" s="109" t="s">
        <v>46</v>
      </c>
      <c r="B36" s="107"/>
      <c r="C36" s="107"/>
      <c r="D36" s="108"/>
      <c r="E36" s="107"/>
      <c r="F36" s="107"/>
      <c r="G36" s="107"/>
    </row>
    <row r="37" spans="1:9" s="100" customFormat="1" ht="21.75" customHeight="1" x14ac:dyDescent="0.3">
      <c r="A37" s="96"/>
      <c r="B37" s="105"/>
      <c r="C37" s="105"/>
      <c r="D37" s="106"/>
      <c r="E37" s="105"/>
      <c r="F37" s="105"/>
      <c r="G37" s="105"/>
    </row>
    <row r="38" spans="1:9" s="100" customFormat="1" ht="21.75" customHeight="1" x14ac:dyDescent="0.3">
      <c r="A38" s="96"/>
      <c r="B38" s="105"/>
      <c r="C38" s="105"/>
      <c r="D38" s="106"/>
      <c r="E38" s="105"/>
      <c r="F38" s="105"/>
      <c r="G38" s="105"/>
    </row>
    <row r="39" spans="1:9" s="100" customFormat="1" ht="12.75" customHeight="1" x14ac:dyDescent="0.3">
      <c r="A39" s="104"/>
      <c r="B39" s="103"/>
      <c r="C39" s="103"/>
      <c r="D39" s="101"/>
      <c r="E39" s="102"/>
      <c r="F39" s="101"/>
      <c r="G39" s="101"/>
    </row>
    <row r="40" spans="1:9" s="91" customFormat="1" ht="21.75" customHeight="1" x14ac:dyDescent="0.25">
      <c r="A40" s="96"/>
      <c r="B40" s="99"/>
      <c r="C40" s="99"/>
      <c r="D40" s="97"/>
      <c r="E40" s="98"/>
      <c r="F40" s="97"/>
      <c r="G40" s="97"/>
    </row>
    <row r="41" spans="1:9" s="91" customFormat="1" x14ac:dyDescent="0.25">
      <c r="A41" s="96"/>
      <c r="B41" s="92"/>
      <c r="C41" s="92"/>
      <c r="D41" s="93"/>
      <c r="E41" s="95"/>
      <c r="F41" s="93"/>
      <c r="G41" s="93"/>
    </row>
    <row r="42" spans="1:9" s="91" customFormat="1" ht="13.2" x14ac:dyDescent="0.25">
      <c r="A42" s="94"/>
      <c r="B42" s="92"/>
      <c r="C42" s="92"/>
      <c r="D42" s="93"/>
      <c r="E42" s="92"/>
      <c r="F42" s="92"/>
      <c r="G42" s="92"/>
    </row>
    <row r="43" spans="1:9" s="91" customFormat="1" ht="13.2" x14ac:dyDescent="0.25">
      <c r="A43" s="94"/>
      <c r="B43" s="92"/>
      <c r="C43" s="92"/>
      <c r="D43" s="93"/>
      <c r="E43" s="92"/>
      <c r="F43" s="92"/>
      <c r="G43" s="92"/>
    </row>
    <row r="44" spans="1:9" x14ac:dyDescent="0.25">
      <c r="A44" s="90"/>
      <c r="B44" s="89"/>
      <c r="C44" s="428"/>
      <c r="D44" s="428"/>
      <c r="E44" s="428"/>
      <c r="F44" s="428"/>
      <c r="G44" s="428"/>
    </row>
    <row r="45" spans="1:9" x14ac:dyDescent="0.25">
      <c r="A45" s="90"/>
      <c r="B45" s="89"/>
      <c r="C45" s="428"/>
      <c r="D45" s="428"/>
      <c r="E45" s="428"/>
      <c r="F45" s="428"/>
      <c r="G45" s="428"/>
    </row>
    <row r="46" spans="1:9" x14ac:dyDescent="0.25">
      <c r="A46" s="90"/>
      <c r="B46" s="89"/>
      <c r="C46" s="428"/>
      <c r="D46" s="428"/>
      <c r="E46" s="428"/>
      <c r="F46" s="428"/>
      <c r="G46" s="428"/>
    </row>
    <row r="47" spans="1:9" x14ac:dyDescent="0.25">
      <c r="A47" s="90"/>
      <c r="B47" s="89"/>
      <c r="C47" s="428"/>
      <c r="D47" s="428"/>
      <c r="E47" s="428"/>
      <c r="F47" s="428"/>
      <c r="G47" s="428"/>
    </row>
    <row r="48" spans="1:9" x14ac:dyDescent="0.25">
      <c r="A48" s="90"/>
      <c r="B48" s="89"/>
      <c r="C48" s="428"/>
      <c r="D48" s="428"/>
      <c r="E48" s="428"/>
      <c r="F48" s="428"/>
      <c r="G48" s="428"/>
    </row>
    <row r="49" spans="1:7" x14ac:dyDescent="0.25">
      <c r="A49" s="90"/>
      <c r="B49" s="89"/>
      <c r="C49" s="428"/>
      <c r="D49" s="428"/>
      <c r="E49" s="428"/>
      <c r="F49" s="428"/>
      <c r="G49" s="428"/>
    </row>
    <row r="50" spans="1:7" x14ac:dyDescent="0.25">
      <c r="A50" s="90"/>
      <c r="B50" s="89"/>
      <c r="C50" s="428"/>
      <c r="D50" s="428"/>
      <c r="E50" s="428"/>
      <c r="F50" s="428"/>
      <c r="G50" s="428"/>
    </row>
    <row r="51" spans="1:7" x14ac:dyDescent="0.25">
      <c r="A51" s="90"/>
      <c r="B51" s="89"/>
      <c r="C51" s="428"/>
      <c r="D51" s="428"/>
      <c r="E51" s="428"/>
      <c r="F51" s="428"/>
      <c r="G51" s="428"/>
    </row>
    <row r="52" spans="1:7" x14ac:dyDescent="0.25">
      <c r="A52" s="90"/>
      <c r="B52" s="89"/>
      <c r="C52" s="428"/>
      <c r="D52" s="428"/>
      <c r="E52" s="428"/>
      <c r="F52" s="428"/>
      <c r="G52" s="428"/>
    </row>
    <row r="53" spans="1:7" x14ac:dyDescent="0.25">
      <c r="A53" s="90"/>
      <c r="B53" s="89"/>
      <c r="C53" s="428"/>
      <c r="D53" s="428"/>
      <c r="E53" s="428"/>
      <c r="F53" s="428"/>
      <c r="G53" s="428"/>
    </row>
    <row r="54" spans="1:7" x14ac:dyDescent="0.25">
      <c r="A54" s="90"/>
      <c r="B54" s="89"/>
      <c r="C54" s="428"/>
      <c r="D54" s="428"/>
      <c r="E54" s="428"/>
      <c r="F54" s="428"/>
      <c r="G54" s="428"/>
    </row>
    <row r="55" spans="1:7" x14ac:dyDescent="0.25">
      <c r="A55" s="90"/>
      <c r="B55" s="89"/>
      <c r="C55" s="428"/>
      <c r="D55" s="428"/>
      <c r="E55" s="428"/>
      <c r="F55" s="428"/>
      <c r="G55" s="428"/>
    </row>
    <row r="56" spans="1:7" x14ac:dyDescent="0.25">
      <c r="A56" s="90"/>
      <c r="B56" s="89"/>
      <c r="C56" s="428"/>
      <c r="D56" s="428"/>
      <c r="E56" s="428"/>
      <c r="F56" s="428"/>
      <c r="G56" s="428"/>
    </row>
    <row r="57" spans="1:7" x14ac:dyDescent="0.25">
      <c r="A57" s="90"/>
      <c r="B57" s="89"/>
      <c r="C57" s="428"/>
      <c r="D57" s="428"/>
      <c r="E57" s="428"/>
      <c r="F57" s="428"/>
      <c r="G57" s="428"/>
    </row>
    <row r="58" spans="1:7" x14ac:dyDescent="0.25">
      <c r="A58" s="90"/>
      <c r="B58" s="89"/>
      <c r="C58" s="428"/>
      <c r="D58" s="428"/>
      <c r="E58" s="428"/>
      <c r="F58" s="428"/>
      <c r="G58" s="428"/>
    </row>
    <row r="59" spans="1:7" x14ac:dyDescent="0.25">
      <c r="A59" s="90"/>
      <c r="B59" s="89"/>
      <c r="C59" s="428"/>
      <c r="D59" s="428"/>
      <c r="E59" s="428"/>
      <c r="F59" s="428"/>
      <c r="G59" s="428"/>
    </row>
    <row r="60" spans="1:7" x14ac:dyDescent="0.25">
      <c r="A60" s="90"/>
      <c r="B60" s="89"/>
      <c r="C60" s="428"/>
      <c r="D60" s="428"/>
      <c r="E60" s="428"/>
      <c r="F60" s="428"/>
      <c r="G60" s="428"/>
    </row>
    <row r="61" spans="1:7" x14ac:dyDescent="0.25">
      <c r="A61" s="90"/>
      <c r="B61" s="89"/>
      <c r="C61" s="428"/>
      <c r="D61" s="428"/>
      <c r="E61" s="428"/>
      <c r="F61" s="428"/>
      <c r="G61" s="428"/>
    </row>
  </sheetData>
  <mergeCells count="39">
    <mergeCell ref="A9:B9"/>
    <mergeCell ref="D25:G25"/>
    <mergeCell ref="D26:G26"/>
    <mergeCell ref="A5:G5"/>
    <mergeCell ref="A6:G6"/>
    <mergeCell ref="D23:G23"/>
    <mergeCell ref="D15:G15"/>
    <mergeCell ref="D16:G16"/>
    <mergeCell ref="D24:G24"/>
    <mergeCell ref="D17:G17"/>
    <mergeCell ref="D18:G18"/>
    <mergeCell ref="I20:L20"/>
    <mergeCell ref="D21:G21"/>
    <mergeCell ref="D22:G22"/>
    <mergeCell ref="C55:G55"/>
    <mergeCell ref="D28:G28"/>
    <mergeCell ref="C53:G53"/>
    <mergeCell ref="C45:G45"/>
    <mergeCell ref="C46:G46"/>
    <mergeCell ref="C54:G54"/>
    <mergeCell ref="C44:G44"/>
    <mergeCell ref="C47:G47"/>
    <mergeCell ref="C52:G52"/>
    <mergeCell ref="C51:G51"/>
    <mergeCell ref="D33:G33"/>
    <mergeCell ref="D34:G34"/>
    <mergeCell ref="F1:G1"/>
    <mergeCell ref="D20:G20"/>
    <mergeCell ref="D19:G19"/>
    <mergeCell ref="C61:G61"/>
    <mergeCell ref="C56:G56"/>
    <mergeCell ref="C57:G57"/>
    <mergeCell ref="C58:G58"/>
    <mergeCell ref="C59:G59"/>
    <mergeCell ref="C60:G60"/>
    <mergeCell ref="D27:G27"/>
    <mergeCell ref="C48:G48"/>
    <mergeCell ref="C49:G49"/>
    <mergeCell ref="C50:G50"/>
  </mergeCells>
  <printOptions horizontalCentered="1"/>
  <pageMargins left="0.47" right="0.47" top="1" bottom="0.59" header="0.5" footer="0.33"/>
  <pageSetup scale="55" orientation="portrait" r:id="rId1"/>
  <headerFooter alignWithMargins="0">
    <oddFooter>&amp;R&amp;"Lucida Sans,Italic"&amp;10File behind GL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5308-FA77-4CFA-BDD4-7944940E9FB1}">
  <dimension ref="A1:F6"/>
  <sheetViews>
    <sheetView workbookViewId="0">
      <selection activeCell="A7" sqref="A7"/>
    </sheetView>
  </sheetViews>
  <sheetFormatPr defaultRowHeight="14.4" x14ac:dyDescent="0.3"/>
  <cols>
    <col min="1" max="1" width="35.44140625" customWidth="1"/>
    <col min="2" max="2" width="29.6640625" customWidth="1"/>
    <col min="3" max="3" width="18.33203125" bestFit="1" customWidth="1"/>
    <col min="4" max="4" width="18.109375" customWidth="1"/>
    <col min="5" max="5" width="12.44140625" bestFit="1" customWidth="1"/>
    <col min="6" max="6" width="14.33203125" customWidth="1"/>
    <col min="7" max="7" width="15.33203125" bestFit="1" customWidth="1"/>
  </cols>
  <sheetData>
    <row r="1" spans="1:6" x14ac:dyDescent="0.3">
      <c r="A1" s="12" t="s">
        <v>404</v>
      </c>
      <c r="B1" s="12"/>
    </row>
    <row r="3" spans="1:6" s="389" customFormat="1" ht="15" thickBot="1" x14ac:dyDescent="0.35">
      <c r="A3" s="389" t="s">
        <v>405</v>
      </c>
      <c r="B3" s="389" t="s">
        <v>406</v>
      </c>
      <c r="C3" s="389" t="s">
        <v>407</v>
      </c>
      <c r="D3" s="389" t="s">
        <v>408</v>
      </c>
      <c r="E3" s="389" t="s">
        <v>409</v>
      </c>
      <c r="F3" s="389" t="s">
        <v>410</v>
      </c>
    </row>
    <row r="4" spans="1:6" ht="15" thickTop="1" x14ac:dyDescent="0.3">
      <c r="A4" t="s">
        <v>417</v>
      </c>
      <c r="C4" t="s">
        <v>418</v>
      </c>
      <c r="D4" t="s">
        <v>419</v>
      </c>
      <c r="E4" t="s">
        <v>420</v>
      </c>
    </row>
    <row r="5" spans="1:6" x14ac:dyDescent="0.3">
      <c r="A5" t="s">
        <v>458</v>
      </c>
    </row>
    <row r="6" spans="1:6" x14ac:dyDescent="0.3">
      <c r="A6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1415-9E23-4925-BA6F-5A1CD331C219}">
  <dimension ref="A1:B5"/>
  <sheetViews>
    <sheetView workbookViewId="0">
      <selection activeCell="B17" sqref="B17"/>
    </sheetView>
  </sheetViews>
  <sheetFormatPr defaultRowHeight="14.4" x14ac:dyDescent="0.3"/>
  <cols>
    <col min="1" max="1" width="37.6640625" bestFit="1" customWidth="1"/>
    <col min="2" max="2" width="31.33203125" bestFit="1" customWidth="1"/>
  </cols>
  <sheetData>
    <row r="1" spans="1:2" x14ac:dyDescent="0.3">
      <c r="A1" s="12" t="s">
        <v>404</v>
      </c>
    </row>
    <row r="3" spans="1:2" s="389" customFormat="1" ht="15" thickBot="1" x14ac:dyDescent="0.35">
      <c r="A3" s="389" t="s">
        <v>411</v>
      </c>
      <c r="B3" s="389" t="s">
        <v>412</v>
      </c>
    </row>
    <row r="4" spans="1:2" ht="15" thickTop="1" x14ac:dyDescent="0.3">
      <c r="A4" t="s">
        <v>413</v>
      </c>
      <c r="B4" t="s">
        <v>414</v>
      </c>
    </row>
    <row r="5" spans="1:2" x14ac:dyDescent="0.3">
      <c r="A5" t="s">
        <v>415</v>
      </c>
      <c r="B5" t="s">
        <v>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56A7-AB32-4E58-A243-B24222D5E18E}">
  <sheetPr codeName="Sheet4">
    <tabColor rgb="FF92D050"/>
  </sheetPr>
  <dimension ref="A1:K123"/>
  <sheetViews>
    <sheetView topLeftCell="A21" workbookViewId="0">
      <selection activeCell="J37" sqref="J37"/>
    </sheetView>
  </sheetViews>
  <sheetFormatPr defaultRowHeight="14.4" x14ac:dyDescent="0.3"/>
  <cols>
    <col min="1" max="1" width="58.6640625" style="1" customWidth="1"/>
    <col min="2" max="2" width="11.5546875" style="255" bestFit="1" customWidth="1"/>
    <col min="3" max="3" width="10.88671875" style="255" customWidth="1"/>
    <col min="4" max="4" width="2.6640625" style="267" customWidth="1"/>
    <col min="5" max="7" width="12" style="258" customWidth="1"/>
    <col min="10" max="10" width="22.33203125" bestFit="1" customWidth="1"/>
    <col min="11" max="11" width="17.5546875" bestFit="1" customWidth="1"/>
    <col min="14" max="14" width="17.5546875" bestFit="1" customWidth="1"/>
  </cols>
  <sheetData>
    <row r="1" spans="1:11" s="15" customFormat="1" ht="15" thickBot="1" x14ac:dyDescent="0.35">
      <c r="A1" s="384"/>
      <c r="B1" s="257">
        <v>46022</v>
      </c>
      <c r="C1" s="252"/>
      <c r="D1" s="260"/>
      <c r="E1" s="257"/>
      <c r="F1" s="258"/>
      <c r="G1" s="258"/>
    </row>
    <row r="2" spans="1:11" ht="15.6" thickTop="1" thickBot="1" x14ac:dyDescent="0.35">
      <c r="A2" s="385"/>
      <c r="B2" s="261" t="s">
        <v>9</v>
      </c>
      <c r="C2" s="261" t="s">
        <v>10</v>
      </c>
      <c r="D2" s="262"/>
      <c r="E2" s="263" t="s">
        <v>9</v>
      </c>
      <c r="F2" s="263" t="s">
        <v>10</v>
      </c>
      <c r="G2" s="278"/>
    </row>
    <row r="3" spans="1:11" ht="15" thickTop="1" x14ac:dyDescent="0.3">
      <c r="A3" s="386" t="s">
        <v>83</v>
      </c>
      <c r="B3" s="264">
        <f>'10000 - BofA CHK 1020'!$O$45</f>
        <v>25944.200000000004</v>
      </c>
      <c r="C3" s="264"/>
      <c r="D3" s="262"/>
      <c r="E3" s="297">
        <v>25944.2</v>
      </c>
      <c r="F3" s="298"/>
      <c r="G3" s="277">
        <f>(B3+C3)-(E3+F3)</f>
        <v>0</v>
      </c>
      <c r="H3" t="str">
        <f t="shared" ref="H3:H17" si="0">IF(ROUND(B3-E3,1)= 0, "Match","No Match")</f>
        <v>Match</v>
      </c>
      <c r="I3" t="str">
        <f t="shared" ref="I3:I17" si="1">IF(ROUND(C3-F3,1)= 0, "Match","No Match")</f>
        <v>Match</v>
      </c>
      <c r="K3" s="298"/>
    </row>
    <row r="4" spans="1:11" x14ac:dyDescent="0.3">
      <c r="A4" s="386" t="s">
        <v>84</v>
      </c>
      <c r="B4" s="264">
        <f>'11000 Accounts Receivable'!C11</f>
        <v>0</v>
      </c>
      <c r="C4" s="266"/>
      <c r="D4" s="262"/>
      <c r="E4" s="297">
        <v>0</v>
      </c>
      <c r="F4" s="298"/>
      <c r="G4" s="277">
        <f t="shared" ref="G4:G17" si="2">(B4+C4)-(E4+F4)</f>
        <v>0</v>
      </c>
      <c r="H4" t="str">
        <f t="shared" si="0"/>
        <v>Match</v>
      </c>
      <c r="I4" t="str">
        <f t="shared" si="1"/>
        <v>Match</v>
      </c>
      <c r="J4" s="298"/>
      <c r="K4" s="298"/>
    </row>
    <row r="5" spans="1:11" x14ac:dyDescent="0.3">
      <c r="A5" s="386" t="s">
        <v>337</v>
      </c>
      <c r="B5" s="264">
        <f>'11600 - Prepaid Expenses (OLD)'!E19</f>
        <v>39826.574954440264</v>
      </c>
      <c r="C5" s="253"/>
      <c r="D5" s="262"/>
      <c r="E5" s="297">
        <v>39826.57</v>
      </c>
      <c r="F5" s="298"/>
      <c r="G5" s="277">
        <f t="shared" si="2"/>
        <v>4.95444026455516E-3</v>
      </c>
      <c r="H5" t="str">
        <f t="shared" si="0"/>
        <v>Match</v>
      </c>
      <c r="I5" t="str">
        <f t="shared" si="1"/>
        <v>Match</v>
      </c>
      <c r="J5" s="298"/>
      <c r="K5" s="298"/>
    </row>
    <row r="6" spans="1:11" x14ac:dyDescent="0.3">
      <c r="A6" s="386" t="s">
        <v>85</v>
      </c>
      <c r="B6" s="264">
        <f>'15500-Acc Depreciation'!AM8</f>
        <v>269900</v>
      </c>
      <c r="C6" s="253"/>
      <c r="D6" s="262"/>
      <c r="E6" s="297">
        <v>269900</v>
      </c>
      <c r="F6" s="298"/>
      <c r="G6" s="277">
        <f t="shared" si="2"/>
        <v>0</v>
      </c>
      <c r="H6" t="str">
        <f t="shared" si="0"/>
        <v>Match</v>
      </c>
      <c r="I6" t="str">
        <f t="shared" si="1"/>
        <v>Match</v>
      </c>
      <c r="J6" s="298"/>
      <c r="K6" s="298"/>
    </row>
    <row r="7" spans="1:11" x14ac:dyDescent="0.3">
      <c r="A7" s="386" t="s">
        <v>86</v>
      </c>
      <c r="B7" s="254">
        <f>'15500-Acc Depreciation'!AM7</f>
        <v>263992.78000000003</v>
      </c>
      <c r="C7" s="264"/>
      <c r="D7" s="262"/>
      <c r="E7" s="297">
        <v>263992.78000000003</v>
      </c>
      <c r="F7" s="298"/>
      <c r="G7" s="277">
        <f t="shared" si="2"/>
        <v>0</v>
      </c>
      <c r="H7" t="str">
        <f t="shared" si="0"/>
        <v>Match</v>
      </c>
      <c r="I7" t="str">
        <f t="shared" si="1"/>
        <v>Match</v>
      </c>
      <c r="J7" s="297"/>
      <c r="K7" s="298"/>
    </row>
    <row r="8" spans="1:11" x14ac:dyDescent="0.3">
      <c r="A8" s="386" t="s">
        <v>87</v>
      </c>
      <c r="B8" s="254">
        <f>'15500-Acc Depreciation'!AM4</f>
        <v>66464</v>
      </c>
      <c r="C8" s="264"/>
      <c r="D8" s="262"/>
      <c r="E8" s="297">
        <v>66464</v>
      </c>
      <c r="F8" s="298"/>
      <c r="G8" s="277">
        <f t="shared" si="2"/>
        <v>0</v>
      </c>
      <c r="H8" t="str">
        <f t="shared" si="0"/>
        <v>Match</v>
      </c>
      <c r="I8" t="str">
        <f t="shared" si="1"/>
        <v>Match</v>
      </c>
      <c r="J8" s="297"/>
      <c r="K8" s="298"/>
    </row>
    <row r="9" spans="1:11" x14ac:dyDescent="0.3">
      <c r="A9" s="386" t="s">
        <v>88</v>
      </c>
      <c r="B9" s="264">
        <f>'15500-Acc Depreciation'!AM10</f>
        <v>272754.5</v>
      </c>
      <c r="C9" s="253"/>
      <c r="D9" s="262"/>
      <c r="E9" s="297">
        <v>272754.5</v>
      </c>
      <c r="F9" s="298"/>
      <c r="G9" s="277">
        <f t="shared" si="2"/>
        <v>0</v>
      </c>
      <c r="H9" t="str">
        <f t="shared" si="0"/>
        <v>Match</v>
      </c>
      <c r="I9" t="str">
        <f t="shared" si="1"/>
        <v>Match</v>
      </c>
      <c r="J9" s="297"/>
      <c r="K9" s="298"/>
    </row>
    <row r="10" spans="1:11" x14ac:dyDescent="0.3">
      <c r="A10" s="386" t="s">
        <v>89</v>
      </c>
      <c r="B10" s="264">
        <f>'15500-Acc Depreciation'!AM9</f>
        <v>140000</v>
      </c>
      <c r="C10" s="266"/>
      <c r="D10" s="262"/>
      <c r="E10" s="297">
        <v>140000</v>
      </c>
      <c r="F10" s="298"/>
      <c r="G10" s="277">
        <f t="shared" si="2"/>
        <v>0</v>
      </c>
      <c r="H10" t="str">
        <f t="shared" si="0"/>
        <v>Match</v>
      </c>
      <c r="I10" t="str">
        <f t="shared" si="1"/>
        <v>Match</v>
      </c>
      <c r="J10" s="297"/>
      <c r="K10" s="298"/>
    </row>
    <row r="11" spans="1:11" x14ac:dyDescent="0.3">
      <c r="A11" s="386" t="s">
        <v>90</v>
      </c>
      <c r="B11" s="264">
        <f>'15500-Acc Depreciation'!AP6</f>
        <v>68219.69</v>
      </c>
      <c r="C11" s="266"/>
      <c r="E11" s="297">
        <v>68219.69</v>
      </c>
      <c r="F11" s="298"/>
      <c r="G11" s="277">
        <f t="shared" si="2"/>
        <v>0</v>
      </c>
      <c r="H11" t="str">
        <f t="shared" si="0"/>
        <v>Match</v>
      </c>
      <c r="I11" t="str">
        <f t="shared" si="1"/>
        <v>Match</v>
      </c>
      <c r="J11" s="297"/>
      <c r="K11" s="298"/>
    </row>
    <row r="12" spans="1:11" x14ac:dyDescent="0.3">
      <c r="A12" s="386" t="s">
        <v>91</v>
      </c>
      <c r="B12" s="253"/>
      <c r="C12" s="264">
        <f>_xlfn.XLOOKUP(B1,'15500-Acc Depreciation'!33:33,'15500-Acc Depreciation'!43:43)</f>
        <v>530560.76166666672</v>
      </c>
      <c r="D12" s="262"/>
      <c r="E12" s="298"/>
      <c r="F12" s="297">
        <v>530560.76</v>
      </c>
      <c r="G12" s="277">
        <f t="shared" si="2"/>
        <v>1.6666667070239782E-3</v>
      </c>
      <c r="H12" t="str">
        <f t="shared" si="0"/>
        <v>Match</v>
      </c>
      <c r="I12" t="str">
        <f t="shared" si="1"/>
        <v>Match</v>
      </c>
      <c r="J12" s="298"/>
      <c r="K12" s="297"/>
    </row>
    <row r="13" spans="1:11" x14ac:dyDescent="0.3">
      <c r="A13" s="386" t="s">
        <v>92</v>
      </c>
      <c r="B13" s="254">
        <f>'17000 - Goodwill'!B3</f>
        <v>174500</v>
      </c>
      <c r="C13" s="266"/>
      <c r="D13" s="262"/>
      <c r="E13" s="297">
        <v>174500</v>
      </c>
      <c r="F13" s="298"/>
      <c r="G13" s="277">
        <f t="shared" si="2"/>
        <v>0</v>
      </c>
      <c r="H13" t="str">
        <f t="shared" si="0"/>
        <v>Match</v>
      </c>
      <c r="I13" t="str">
        <f t="shared" si="1"/>
        <v>Match</v>
      </c>
      <c r="J13" s="297"/>
      <c r="K13" s="298"/>
    </row>
    <row r="14" spans="1:11" x14ac:dyDescent="0.3">
      <c r="A14" s="386" t="s">
        <v>93</v>
      </c>
      <c r="B14" s="264"/>
      <c r="C14" s="264">
        <f>_xlfn.XLOOKUP(B1,'17000 - Goodwill'!A:A,'17000 - Goodwill'!D:D)</f>
        <v>51357</v>
      </c>
      <c r="D14" s="262"/>
      <c r="E14" s="298"/>
      <c r="F14" s="297">
        <v>51357</v>
      </c>
      <c r="G14" s="277">
        <f t="shared" si="2"/>
        <v>0</v>
      </c>
      <c r="H14" t="str">
        <f t="shared" si="0"/>
        <v>Match</v>
      </c>
      <c r="I14" t="str">
        <f t="shared" si="1"/>
        <v>Match</v>
      </c>
      <c r="J14" s="298"/>
      <c r="K14" s="297"/>
    </row>
    <row r="15" spans="1:11" x14ac:dyDescent="0.3">
      <c r="A15" s="386" t="s">
        <v>94</v>
      </c>
      <c r="B15" s="264"/>
      <c r="C15" s="264">
        <f>'21000 - Accrued Expenses'!H23</f>
        <v>3149.75</v>
      </c>
      <c r="D15" s="262"/>
      <c r="E15" s="298"/>
      <c r="F15" s="297">
        <v>3149.75</v>
      </c>
      <c r="G15" s="277">
        <f t="shared" si="2"/>
        <v>0</v>
      </c>
      <c r="H15" t="str">
        <f t="shared" si="0"/>
        <v>Match</v>
      </c>
      <c r="I15" t="str">
        <f t="shared" si="1"/>
        <v>Match</v>
      </c>
      <c r="J15" s="382"/>
      <c r="K15" s="297"/>
    </row>
    <row r="16" spans="1:11" ht="14.25" customHeight="1" x14ac:dyDescent="0.3">
      <c r="A16" s="386" t="s">
        <v>95</v>
      </c>
      <c r="B16" s="264"/>
      <c r="C16" s="264">
        <f>'21050 - Accrued Interest'!E8</f>
        <v>794.18231081359488</v>
      </c>
      <c r="D16" s="262"/>
      <c r="E16" s="298"/>
      <c r="F16" s="297">
        <v>794.17</v>
      </c>
      <c r="G16" s="277">
        <f t="shared" si="2"/>
        <v>1.2310813594922365E-2</v>
      </c>
      <c r="H16" t="str">
        <f t="shared" si="0"/>
        <v>Match</v>
      </c>
      <c r="I16" t="str">
        <f t="shared" si="1"/>
        <v>Match</v>
      </c>
      <c r="J16" s="298"/>
      <c r="K16" s="297"/>
    </row>
    <row r="17" spans="1:11" x14ac:dyDescent="0.3">
      <c r="A17" s="386" t="s">
        <v>96</v>
      </c>
      <c r="B17" s="264"/>
      <c r="C17" s="264">
        <v>0</v>
      </c>
      <c r="D17" s="262"/>
      <c r="E17" s="298"/>
      <c r="F17" s="297">
        <v>0</v>
      </c>
      <c r="G17" s="277">
        <f t="shared" si="2"/>
        <v>0</v>
      </c>
      <c r="H17" t="str">
        <f t="shared" si="0"/>
        <v>Match</v>
      </c>
      <c r="I17" t="str">
        <f t="shared" si="1"/>
        <v>Match</v>
      </c>
      <c r="J17" s="298"/>
      <c r="K17" s="297"/>
    </row>
    <row r="18" spans="1:11" x14ac:dyDescent="0.3">
      <c r="A18" s="386" t="s">
        <v>338</v>
      </c>
      <c r="B18" s="264"/>
      <c r="C18" s="264">
        <f>'21100 - Accrued Payroll'!J21</f>
        <v>2245.5200000000041</v>
      </c>
      <c r="D18" s="262"/>
      <c r="E18" s="298"/>
      <c r="F18" s="297">
        <v>2245.52</v>
      </c>
      <c r="G18" s="277">
        <f t="shared" ref="G18:G20" si="3">(B18+C18)-(E18+F18)</f>
        <v>4.0927261579781771E-12</v>
      </c>
      <c r="H18" t="str">
        <f t="shared" ref="H18:H20" si="4">IF(ROUND(B18-E18,1)= 0, "Match","No Match")</f>
        <v>Match</v>
      </c>
      <c r="I18" t="str">
        <f t="shared" ref="I18:I20" si="5">IF(ROUND(C18-F18,1)= 0, "Match","No Match")</f>
        <v>Match</v>
      </c>
      <c r="J18" s="383"/>
      <c r="K18" s="297"/>
    </row>
    <row r="19" spans="1:11" x14ac:dyDescent="0.3">
      <c r="A19" s="386" t="s">
        <v>339</v>
      </c>
      <c r="B19" s="264"/>
      <c r="C19" s="264">
        <f>'21100 - Accrued Payroll'!B31</f>
        <v>7930.8099999999995</v>
      </c>
      <c r="D19" s="262"/>
      <c r="E19" s="298"/>
      <c r="F19" s="297">
        <v>7930.81</v>
      </c>
      <c r="G19" s="277">
        <f t="shared" si="3"/>
        <v>0</v>
      </c>
      <c r="H19" t="str">
        <f t="shared" si="4"/>
        <v>Match</v>
      </c>
      <c r="I19" t="str">
        <f t="shared" si="5"/>
        <v>Match</v>
      </c>
      <c r="J19" s="382"/>
      <c r="K19" s="297"/>
    </row>
    <row r="20" spans="1:11" x14ac:dyDescent="0.3">
      <c r="A20" s="387" t="s">
        <v>97</v>
      </c>
      <c r="B20" s="264"/>
      <c r="C20" s="264">
        <f>_xlfn.XLOOKUP(B1,'21125 - Unearned Revenue'!3:3,'21125 - Unearned Revenue'!133:133)</f>
        <v>442379.08333333326</v>
      </c>
      <c r="D20" s="262"/>
      <c r="E20" s="298"/>
      <c r="F20" s="297">
        <v>442379.08</v>
      </c>
      <c r="G20" s="277">
        <f t="shared" si="3"/>
        <v>3.3333332394249737E-3</v>
      </c>
      <c r="H20" t="str">
        <f t="shared" si="4"/>
        <v>Match</v>
      </c>
      <c r="I20" t="str">
        <f t="shared" si="5"/>
        <v>Match</v>
      </c>
      <c r="J20" s="298"/>
      <c r="K20" s="297"/>
    </row>
    <row r="21" spans="1:11" x14ac:dyDescent="0.3">
      <c r="A21" s="386" t="s">
        <v>98</v>
      </c>
      <c r="B21" s="264"/>
      <c r="C21" s="264">
        <f>F21</f>
        <v>26221.5</v>
      </c>
      <c r="D21" s="262"/>
      <c r="E21" s="298"/>
      <c r="F21" s="297">
        <v>26221.5</v>
      </c>
      <c r="G21" s="277">
        <f t="shared" ref="G21:G44" si="6">(B21+C21)-(E21+F21)</f>
        <v>0</v>
      </c>
      <c r="H21" t="str">
        <f t="shared" ref="H21:H44" si="7">IF(ROUND(B21-E21,1)= 0, "Match","No Match")</f>
        <v>Match</v>
      </c>
      <c r="I21" t="str">
        <f t="shared" ref="I21:I44" si="8">IF(ROUND(C21-F21,1)= 0, "Match","No Match")</f>
        <v>Match</v>
      </c>
      <c r="J21" s="298"/>
      <c r="K21" s="297"/>
    </row>
    <row r="22" spans="1:11" x14ac:dyDescent="0.3">
      <c r="A22" s="386" t="s">
        <v>99</v>
      </c>
      <c r="B22" s="264"/>
      <c r="C22" s="264">
        <f>F22</f>
        <v>55668.06</v>
      </c>
      <c r="D22" s="262"/>
      <c r="E22" s="298"/>
      <c r="F22" s="297">
        <v>55668.06</v>
      </c>
      <c r="G22" s="277">
        <f t="shared" si="6"/>
        <v>0</v>
      </c>
      <c r="H22" t="str">
        <f t="shared" si="7"/>
        <v>Match</v>
      </c>
      <c r="I22" t="str">
        <f t="shared" si="8"/>
        <v>Match</v>
      </c>
      <c r="J22" s="298"/>
      <c r="K22" s="297"/>
    </row>
    <row r="23" spans="1:11" x14ac:dyDescent="0.3">
      <c r="A23" s="386" t="s">
        <v>100</v>
      </c>
      <c r="B23" s="264"/>
      <c r="C23" s="264">
        <f>_xlfn.XLOOKUP("TOTAL",'21300 - Due to.from Socal'!I22,'21300 - Due to.from Socal'!J22)</f>
        <v>53375.070000000007</v>
      </c>
      <c r="D23" s="262"/>
      <c r="E23" s="298"/>
      <c r="F23" s="297">
        <v>53375.07</v>
      </c>
      <c r="G23" s="277">
        <f t="shared" si="6"/>
        <v>0</v>
      </c>
      <c r="H23" t="str">
        <f t="shared" si="7"/>
        <v>Match</v>
      </c>
      <c r="I23" t="str">
        <f t="shared" si="8"/>
        <v>Match</v>
      </c>
      <c r="J23" s="298"/>
      <c r="K23" s="297"/>
    </row>
    <row r="24" spans="1:11" x14ac:dyDescent="0.3">
      <c r="A24" s="386" t="s">
        <v>101</v>
      </c>
      <c r="B24" s="264"/>
      <c r="C24" s="264">
        <f>_xlfn.XLOOKUP(B1,'23500 - Insurance Payable'!A:A,'23500 - Insurance Payable'!N:N,)</f>
        <v>31127.185004398685</v>
      </c>
      <c r="D24" s="262"/>
      <c r="E24" s="298"/>
      <c r="F24" s="297">
        <v>31127.18</v>
      </c>
      <c r="G24" s="277">
        <f t="shared" si="6"/>
        <v>5.0043986848322675E-3</v>
      </c>
      <c r="H24" t="str">
        <f t="shared" si="7"/>
        <v>Match</v>
      </c>
      <c r="I24" t="str">
        <f t="shared" si="8"/>
        <v>Match</v>
      </c>
      <c r="J24" s="298"/>
      <c r="K24" s="297"/>
    </row>
    <row r="25" spans="1:11" x14ac:dyDescent="0.3">
      <c r="A25" s="386" t="s">
        <v>102</v>
      </c>
      <c r="B25" s="264"/>
      <c r="C25" s="264">
        <f>'22000 &amp; 23000 - Axopar Suntop37'!N5</f>
        <v>4.5266328379511833E-4</v>
      </c>
      <c r="D25" s="262"/>
      <c r="E25" s="298"/>
      <c r="F25" s="297">
        <v>0</v>
      </c>
      <c r="G25" s="277">
        <f t="shared" si="6"/>
        <v>4.5266328379511833E-4</v>
      </c>
      <c r="H25" t="str">
        <f t="shared" si="7"/>
        <v>Match</v>
      </c>
      <c r="I25" t="str">
        <f t="shared" si="8"/>
        <v>Match</v>
      </c>
      <c r="J25" s="298"/>
      <c r="K25" s="297"/>
    </row>
    <row r="26" spans="1:11" x14ac:dyDescent="0.3">
      <c r="A26" s="386" t="s">
        <v>103</v>
      </c>
      <c r="B26" s="264"/>
      <c r="C26" s="264">
        <f>'22050 &amp; 23050 - Beneteau'!N5</f>
        <v>1.2240116484463215E-4</v>
      </c>
      <c r="D26" s="262"/>
      <c r="E26" s="298"/>
      <c r="F26" s="297">
        <v>0</v>
      </c>
      <c r="G26" s="277">
        <f t="shared" si="6"/>
        <v>1.2240116484463215E-4</v>
      </c>
      <c r="H26" t="str">
        <f t="shared" si="7"/>
        <v>Match</v>
      </c>
      <c r="I26" t="str">
        <f t="shared" si="8"/>
        <v>Match</v>
      </c>
      <c r="J26" s="298"/>
      <c r="K26" s="297"/>
    </row>
    <row r="27" spans="1:11" x14ac:dyDescent="0.3">
      <c r="A27" s="386" t="s">
        <v>104</v>
      </c>
      <c r="B27" s="264"/>
      <c r="C27" s="264">
        <f>'22100 &amp; 23100 -Manitou (Stacey)'!N5</f>
        <v>4.1830338886938989E-4</v>
      </c>
      <c r="D27" s="262"/>
      <c r="E27" s="298"/>
      <c r="F27" s="297">
        <v>0</v>
      </c>
      <c r="G27" s="277">
        <f t="shared" si="6"/>
        <v>4.1830338886938989E-4</v>
      </c>
      <c r="H27" t="str">
        <f t="shared" si="7"/>
        <v>Match</v>
      </c>
      <c r="I27" t="str">
        <f t="shared" si="8"/>
        <v>Match</v>
      </c>
      <c r="K27" s="297"/>
    </row>
    <row r="28" spans="1:11" x14ac:dyDescent="0.3">
      <c r="A28" s="386" t="s">
        <v>105</v>
      </c>
      <c r="B28" s="264"/>
      <c r="C28" s="264">
        <f>'22150 &amp; 23150 - Scott Tiernan'!N7</f>
        <v>5990.5162611474416</v>
      </c>
      <c r="D28" s="262"/>
      <c r="E28" s="298"/>
      <c r="F28" s="297">
        <v>5990.53</v>
      </c>
      <c r="G28" s="277">
        <f t="shared" si="6"/>
        <v>-1.3738852558162762E-2</v>
      </c>
      <c r="H28" t="str">
        <f t="shared" si="7"/>
        <v>Match</v>
      </c>
      <c r="I28" t="str">
        <f t="shared" si="8"/>
        <v>Match</v>
      </c>
      <c r="J28" s="298"/>
      <c r="K28" s="297"/>
    </row>
    <row r="29" spans="1:11" x14ac:dyDescent="0.3">
      <c r="A29" s="386" t="s">
        <v>106</v>
      </c>
      <c r="B29" s="264"/>
      <c r="C29" s="264">
        <f>'22250 &amp; 23250 - NX 340'!N5</f>
        <v>-2.0420778309926391E-4</v>
      </c>
      <c r="D29" s="262"/>
      <c r="E29" s="298"/>
      <c r="F29" s="297">
        <v>0</v>
      </c>
      <c r="G29" s="277">
        <f t="shared" si="6"/>
        <v>-2.0420778309926391E-4</v>
      </c>
      <c r="H29" t="str">
        <f t="shared" si="7"/>
        <v>Match</v>
      </c>
      <c r="I29" t="str">
        <f t="shared" si="8"/>
        <v>Match</v>
      </c>
      <c r="J29" s="298"/>
      <c r="K29" s="297"/>
    </row>
    <row r="30" spans="1:11" x14ac:dyDescent="0.3">
      <c r="A30" s="386" t="s">
        <v>107</v>
      </c>
      <c r="B30" s="264"/>
      <c r="C30" s="264">
        <f>'22300 &amp; 23300 - Axopar T-TOP28'!O5</f>
        <v>4.9079157179221511E-5</v>
      </c>
      <c r="D30" s="262"/>
      <c r="E30" s="298"/>
      <c r="F30" s="297">
        <v>0</v>
      </c>
      <c r="G30" s="277">
        <f t="shared" si="6"/>
        <v>4.9079157179221511E-5</v>
      </c>
      <c r="H30" t="str">
        <f t="shared" si="7"/>
        <v>Match</v>
      </c>
      <c r="I30" t="str">
        <f t="shared" si="8"/>
        <v>Match</v>
      </c>
      <c r="J30" s="298"/>
      <c r="K30" s="297"/>
    </row>
    <row r="31" spans="1:11" x14ac:dyDescent="0.3">
      <c r="A31" s="386" t="s">
        <v>108</v>
      </c>
      <c r="B31" s="264"/>
      <c r="C31" s="264">
        <f>'22000 &amp; 23000 - Axopar Suntop37'!N6</f>
        <v>-4.3644141405820847E-3</v>
      </c>
      <c r="D31" s="262"/>
      <c r="E31" s="298"/>
      <c r="F31" s="297">
        <v>0</v>
      </c>
      <c r="G31" s="277">
        <f t="shared" si="6"/>
        <v>-4.3644141405820847E-3</v>
      </c>
      <c r="H31" t="str">
        <f t="shared" si="7"/>
        <v>Match</v>
      </c>
      <c r="I31" t="str">
        <f t="shared" si="8"/>
        <v>Match</v>
      </c>
      <c r="J31" s="298"/>
      <c r="K31" s="297"/>
    </row>
    <row r="32" spans="1:11" x14ac:dyDescent="0.3">
      <c r="A32" s="388" t="s">
        <v>395</v>
      </c>
      <c r="B32" s="264"/>
      <c r="C32" s="264">
        <f>'23350 - CCJ True Loan'!N5</f>
        <v>130327.01288613329</v>
      </c>
      <c r="D32" s="262"/>
      <c r="E32" s="298"/>
      <c r="F32" s="297">
        <v>130327.01</v>
      </c>
      <c r="G32" s="277">
        <f t="shared" ref="G32:G33" si="9">(B32+C32)-(E32+F32)</f>
        <v>2.886133297579363E-3</v>
      </c>
      <c r="H32" t="str">
        <f t="shared" ref="H32:H33" si="10">IF(ROUND(B32-E32,1)= 0, "Match","No Match")</f>
        <v>Match</v>
      </c>
      <c r="I32" t="str">
        <f t="shared" ref="I32:I33" si="11">IF(ROUND(C32-F32,1)= 0, "Match","No Match")</f>
        <v>Match</v>
      </c>
      <c r="J32" s="298"/>
      <c r="K32" s="297"/>
    </row>
    <row r="33" spans="1:11" x14ac:dyDescent="0.3">
      <c r="A33" s="388" t="s">
        <v>396</v>
      </c>
      <c r="B33" s="264"/>
      <c r="C33" s="264">
        <f>'23400 - CCJ True Loan (2)'!N5</f>
        <v>18327.424626816897</v>
      </c>
      <c r="D33" s="262"/>
      <c r="E33" s="298"/>
      <c r="F33" s="297">
        <v>18327.439999999999</v>
      </c>
      <c r="G33" s="277">
        <f t="shared" si="9"/>
        <v>-1.5373183101473842E-2</v>
      </c>
      <c r="H33" t="str">
        <f t="shared" si="10"/>
        <v>Match</v>
      </c>
      <c r="I33" t="str">
        <f t="shared" si="11"/>
        <v>Match</v>
      </c>
      <c r="J33" s="298"/>
      <c r="K33" s="297"/>
    </row>
    <row r="34" spans="1:11" x14ac:dyDescent="0.3">
      <c r="A34" s="386" t="s">
        <v>109</v>
      </c>
      <c r="B34" s="264"/>
      <c r="C34" s="264">
        <f>'22050 &amp; 23050 - Beneteau'!N6</f>
        <v>-1.1801475338870659E-3</v>
      </c>
      <c r="D34" s="262"/>
      <c r="E34" s="298"/>
      <c r="F34" s="297">
        <v>0</v>
      </c>
      <c r="G34" s="277">
        <f t="shared" si="6"/>
        <v>-1.1801475338870659E-3</v>
      </c>
      <c r="H34" t="str">
        <f t="shared" si="7"/>
        <v>Match</v>
      </c>
      <c r="I34" t="str">
        <f t="shared" si="8"/>
        <v>Match</v>
      </c>
      <c r="J34" s="298"/>
      <c r="K34" s="297"/>
    </row>
    <row r="35" spans="1:11" x14ac:dyDescent="0.3">
      <c r="A35" s="386" t="s">
        <v>110</v>
      </c>
      <c r="B35" s="264"/>
      <c r="C35" s="264">
        <f>'22100 &amp; 23100 -Manitou (Stacey)'!N6</f>
        <v>-5.2525712453643791E-3</v>
      </c>
      <c r="D35" s="262"/>
      <c r="E35" s="298"/>
      <c r="F35" s="297">
        <f>0</f>
        <v>0</v>
      </c>
      <c r="G35" s="277">
        <f t="shared" si="6"/>
        <v>-5.2525712453643791E-3</v>
      </c>
      <c r="H35" t="str">
        <f t="shared" si="7"/>
        <v>Match</v>
      </c>
      <c r="I35" t="str">
        <f t="shared" si="8"/>
        <v>Match</v>
      </c>
      <c r="J35" s="298"/>
      <c r="K35" s="297"/>
    </row>
    <row r="36" spans="1:11" x14ac:dyDescent="0.3">
      <c r="A36" s="386" t="s">
        <v>111</v>
      </c>
      <c r="B36" s="264"/>
      <c r="C36" s="264">
        <v>0</v>
      </c>
      <c r="D36" s="262"/>
      <c r="E36" s="298"/>
      <c r="F36" s="297">
        <f>0</f>
        <v>0</v>
      </c>
      <c r="G36" s="277">
        <f t="shared" si="6"/>
        <v>0</v>
      </c>
      <c r="H36" t="str">
        <f t="shared" si="7"/>
        <v>Match</v>
      </c>
      <c r="I36" t="str">
        <f t="shared" si="8"/>
        <v>Match</v>
      </c>
      <c r="J36" s="298"/>
      <c r="K36" s="297"/>
    </row>
    <row r="37" spans="1:11" x14ac:dyDescent="0.3">
      <c r="A37" s="386" t="s">
        <v>112</v>
      </c>
      <c r="B37" s="264"/>
      <c r="C37" s="264">
        <f>'22250 &amp; 23250 - NX 340'!N6</f>
        <v>2.3811025603208691E-3</v>
      </c>
      <c r="D37" s="262"/>
      <c r="E37" s="298"/>
      <c r="F37" s="297">
        <v>0</v>
      </c>
      <c r="G37" s="277">
        <f t="shared" si="6"/>
        <v>2.3811025603208691E-3</v>
      </c>
      <c r="H37" t="str">
        <f t="shared" si="7"/>
        <v>Match</v>
      </c>
      <c r="I37" t="str">
        <f t="shared" si="8"/>
        <v>Match</v>
      </c>
      <c r="J37" s="298"/>
      <c r="K37" s="297"/>
    </row>
    <row r="38" spans="1:11" x14ac:dyDescent="0.3">
      <c r="A38" s="386" t="s">
        <v>113</v>
      </c>
      <c r="B38" s="264"/>
      <c r="C38" s="264">
        <f>'22300 &amp; 23300 - Axopar T-TOP28'!O6</f>
        <v>-4.3606231338344514E-4</v>
      </c>
      <c r="D38" s="262"/>
      <c r="E38" s="298"/>
      <c r="F38" s="297">
        <v>0</v>
      </c>
      <c r="G38" s="277">
        <f t="shared" si="6"/>
        <v>-4.3606231338344514E-4</v>
      </c>
      <c r="H38" t="str">
        <f t="shared" si="7"/>
        <v>Match</v>
      </c>
      <c r="I38" t="str">
        <f t="shared" si="8"/>
        <v>Match</v>
      </c>
      <c r="J38" s="298"/>
      <c r="K38" s="297"/>
    </row>
    <row r="39" spans="1:11" x14ac:dyDescent="0.3">
      <c r="A39" s="388" t="s">
        <v>397</v>
      </c>
      <c r="B39" s="264"/>
      <c r="C39" s="264">
        <f>'23350 - CCJ True Loan'!N6</f>
        <v>332358.96945700375</v>
      </c>
      <c r="D39" s="262"/>
      <c r="E39" s="298"/>
      <c r="F39" s="297">
        <v>332358.96999999997</v>
      </c>
      <c r="G39" s="277">
        <f t="shared" ref="G39:G40" si="12">(B39+C39)-(E39+F39)</f>
        <v>-5.4299621842801571E-4</v>
      </c>
      <c r="H39" t="str">
        <f t="shared" ref="H39:H40" si="13">IF(ROUND(B39-E39,1)= 0, "Match","No Match")</f>
        <v>Match</v>
      </c>
      <c r="I39" t="str">
        <f t="shared" ref="I39:I40" si="14">IF(ROUND(C39-F39,1)= 0, "Match","No Match")</f>
        <v>Match</v>
      </c>
      <c r="J39" s="298"/>
      <c r="K39" s="297"/>
    </row>
    <row r="40" spans="1:11" x14ac:dyDescent="0.3">
      <c r="A40" s="388" t="s">
        <v>398</v>
      </c>
      <c r="B40" s="264"/>
      <c r="C40" s="264">
        <f>'23400 - CCJ True Loan (2)'!N6</f>
        <v>49058.991844117729</v>
      </c>
      <c r="D40" s="262"/>
      <c r="E40" s="298"/>
      <c r="F40" s="297">
        <v>49058.99</v>
      </c>
      <c r="G40" s="277">
        <f t="shared" si="12"/>
        <v>1.8441177307977341E-3</v>
      </c>
      <c r="H40" t="str">
        <f t="shared" si="13"/>
        <v>Match</v>
      </c>
      <c r="I40" t="str">
        <f t="shared" si="14"/>
        <v>Match</v>
      </c>
      <c r="J40" s="298"/>
      <c r="K40" s="297"/>
    </row>
    <row r="41" spans="1:11" x14ac:dyDescent="0.3">
      <c r="A41" s="386" t="s">
        <v>114</v>
      </c>
      <c r="B41" s="264"/>
      <c r="C41" s="264">
        <f>F41</f>
        <v>300000</v>
      </c>
      <c r="D41" s="262"/>
      <c r="E41" s="298"/>
      <c r="F41" s="297">
        <v>300000</v>
      </c>
      <c r="G41" s="277">
        <f t="shared" si="6"/>
        <v>0</v>
      </c>
      <c r="H41" t="str">
        <f t="shared" si="7"/>
        <v>Match</v>
      </c>
      <c r="I41" t="str">
        <f t="shared" si="8"/>
        <v>Match</v>
      </c>
      <c r="J41" s="298"/>
      <c r="K41" s="297"/>
    </row>
    <row r="42" spans="1:11" x14ac:dyDescent="0.3">
      <c r="A42" s="386" t="s">
        <v>115</v>
      </c>
      <c r="B42" s="264"/>
      <c r="C42" s="264">
        <f>F42</f>
        <v>49823.62</v>
      </c>
      <c r="D42" s="262"/>
      <c r="E42" s="298"/>
      <c r="F42" s="297">
        <v>49823.62</v>
      </c>
      <c r="G42" s="277">
        <f t="shared" si="6"/>
        <v>0</v>
      </c>
      <c r="H42" t="str">
        <f t="shared" si="7"/>
        <v>Match</v>
      </c>
      <c r="I42" t="str">
        <f t="shared" si="8"/>
        <v>Match</v>
      </c>
      <c r="J42" s="298"/>
      <c r="K42" s="297"/>
    </row>
    <row r="43" spans="1:11" x14ac:dyDescent="0.3">
      <c r="A43" s="412" t="s">
        <v>454</v>
      </c>
      <c r="B43" s="264">
        <f>E43</f>
        <v>21000</v>
      </c>
      <c r="C43" s="264"/>
      <c r="D43" s="262"/>
      <c r="E43" s="413">
        <v>21000</v>
      </c>
      <c r="F43" s="297"/>
      <c r="G43" s="277">
        <f t="shared" ref="G43" si="15">(B43+C43)-(E43+F43)</f>
        <v>0</v>
      </c>
      <c r="H43" t="str">
        <f t="shared" ref="H43" si="16">IF(ROUND(B43-E43,1)= 0, "Match","No Match")</f>
        <v>Match</v>
      </c>
      <c r="I43" t="str">
        <f t="shared" ref="I43" si="17">IF(ROUND(C43-F43,1)= 0, "Match","No Match")</f>
        <v>Match</v>
      </c>
      <c r="J43" s="298"/>
      <c r="K43" s="297"/>
    </row>
    <row r="44" spans="1:11" x14ac:dyDescent="0.3">
      <c r="A44" s="386" t="s">
        <v>116</v>
      </c>
      <c r="B44" s="264">
        <f>E44</f>
        <v>794004.76</v>
      </c>
      <c r="C44" s="264"/>
      <c r="D44" s="262"/>
      <c r="E44" s="297">
        <v>794004.76</v>
      </c>
      <c r="F44" s="298"/>
      <c r="G44" s="277">
        <f t="shared" si="6"/>
        <v>0</v>
      </c>
      <c r="H44" t="str">
        <f t="shared" si="7"/>
        <v>Match</v>
      </c>
      <c r="I44" t="str">
        <f t="shared" si="8"/>
        <v>Match</v>
      </c>
      <c r="J44" s="298"/>
      <c r="K44" s="297"/>
    </row>
    <row r="45" spans="1:11" x14ac:dyDescent="0.3">
      <c r="A45" s="384"/>
      <c r="B45" s="256"/>
      <c r="C45" s="256"/>
      <c r="D45" s="262"/>
      <c r="E45" s="277"/>
      <c r="F45" s="291"/>
      <c r="J45" s="298"/>
    </row>
    <row r="46" spans="1:11" x14ac:dyDescent="0.3">
      <c r="A46" s="384"/>
      <c r="B46" s="256"/>
      <c r="C46" s="256"/>
      <c r="D46" s="262"/>
      <c r="F46" s="277"/>
      <c r="G46" s="265"/>
      <c r="J46" s="298"/>
    </row>
    <row r="47" spans="1:11" x14ac:dyDescent="0.3">
      <c r="A47" s="384"/>
      <c r="B47" s="256"/>
      <c r="C47" s="256"/>
      <c r="D47" s="262"/>
      <c r="J47" s="298"/>
    </row>
    <row r="48" spans="1:11" x14ac:dyDescent="0.3">
      <c r="A48" s="384"/>
      <c r="B48" s="256"/>
      <c r="C48" s="256"/>
      <c r="D48" s="262"/>
    </row>
    <row r="49" spans="1:11" x14ac:dyDescent="0.3">
      <c r="A49" s="384"/>
      <c r="B49" s="256"/>
      <c r="C49" s="256"/>
      <c r="D49" s="262"/>
      <c r="J49" s="298"/>
      <c r="K49" s="297"/>
    </row>
    <row r="50" spans="1:11" x14ac:dyDescent="0.3">
      <c r="A50" s="384"/>
      <c r="B50" s="256"/>
      <c r="C50" s="256"/>
      <c r="D50" s="262"/>
      <c r="J50" s="298"/>
      <c r="K50" s="297"/>
    </row>
    <row r="51" spans="1:11" x14ac:dyDescent="0.3">
      <c r="A51" s="384"/>
      <c r="B51" s="256"/>
      <c r="C51" s="256"/>
      <c r="D51" s="262"/>
      <c r="J51" s="297"/>
      <c r="K51" s="298"/>
    </row>
    <row r="52" spans="1:11" x14ac:dyDescent="0.3">
      <c r="A52" s="384"/>
      <c r="B52" s="256"/>
      <c r="C52" s="256"/>
      <c r="D52" s="262"/>
      <c r="J52" s="298"/>
      <c r="K52" s="297"/>
    </row>
    <row r="53" spans="1:11" x14ac:dyDescent="0.3">
      <c r="A53" s="384"/>
      <c r="B53" s="256"/>
      <c r="C53" s="256"/>
      <c r="D53" s="262"/>
    </row>
    <row r="54" spans="1:11" x14ac:dyDescent="0.3">
      <c r="A54" s="384"/>
      <c r="B54" s="256"/>
      <c r="C54" s="256"/>
      <c r="D54" s="262"/>
    </row>
    <row r="55" spans="1:11" x14ac:dyDescent="0.3">
      <c r="A55" s="384"/>
      <c r="B55" s="256"/>
      <c r="C55" s="256"/>
      <c r="D55" s="262"/>
    </row>
    <row r="56" spans="1:11" x14ac:dyDescent="0.3">
      <c r="A56" s="384"/>
      <c r="B56" s="256"/>
      <c r="C56" s="256"/>
      <c r="D56" s="262"/>
    </row>
    <row r="57" spans="1:11" x14ac:dyDescent="0.3">
      <c r="A57" s="384"/>
      <c r="B57" s="256"/>
      <c r="C57" s="256"/>
      <c r="D57" s="262"/>
    </row>
    <row r="58" spans="1:11" x14ac:dyDescent="0.3">
      <c r="A58" s="384"/>
      <c r="B58" s="256"/>
      <c r="C58" s="256"/>
      <c r="D58" s="262"/>
    </row>
    <row r="59" spans="1:11" x14ac:dyDescent="0.3">
      <c r="A59" s="384"/>
      <c r="B59" s="256"/>
      <c r="C59" s="256"/>
      <c r="D59" s="262"/>
    </row>
    <row r="60" spans="1:11" x14ac:dyDescent="0.3">
      <c r="A60" s="384"/>
      <c r="B60" s="256"/>
      <c r="C60" s="256"/>
      <c r="D60" s="262"/>
    </row>
    <row r="61" spans="1:11" x14ac:dyDescent="0.3">
      <c r="A61" s="384"/>
      <c r="B61" s="256"/>
      <c r="C61" s="256"/>
      <c r="D61" s="262"/>
    </row>
    <row r="62" spans="1:11" x14ac:dyDescent="0.3">
      <c r="A62" s="384"/>
      <c r="B62" s="256"/>
      <c r="C62" s="256"/>
      <c r="D62" s="262"/>
    </row>
    <row r="63" spans="1:11" x14ac:dyDescent="0.3">
      <c r="A63" s="384"/>
      <c r="B63" s="256"/>
      <c r="C63" s="256"/>
      <c r="D63" s="262"/>
    </row>
    <row r="64" spans="1:11" x14ac:dyDescent="0.3">
      <c r="A64" s="384"/>
      <c r="B64" s="256"/>
      <c r="C64" s="256"/>
      <c r="D64" s="262"/>
    </row>
    <row r="65" spans="1:10" x14ac:dyDescent="0.3">
      <c r="A65" s="384"/>
      <c r="B65" s="256"/>
      <c r="C65" s="256"/>
      <c r="D65" s="262"/>
    </row>
    <row r="66" spans="1:10" s="1" customFormat="1" ht="15.75" customHeight="1" x14ac:dyDescent="0.3">
      <c r="A66" s="384"/>
      <c r="B66" s="256"/>
      <c r="C66" s="256"/>
      <c r="D66" s="262"/>
      <c r="E66" s="258"/>
      <c r="F66" s="258"/>
      <c r="G66" s="258"/>
      <c r="H66"/>
      <c r="I66"/>
      <c r="J66"/>
    </row>
    <row r="67" spans="1:10" x14ac:dyDescent="0.3">
      <c r="A67" s="384"/>
      <c r="B67" s="256"/>
      <c r="C67" s="256"/>
      <c r="D67" s="262"/>
    </row>
    <row r="68" spans="1:10" x14ac:dyDescent="0.3">
      <c r="A68" s="384"/>
      <c r="B68" s="256"/>
      <c r="C68" s="256"/>
      <c r="D68" s="262"/>
    </row>
    <row r="69" spans="1:10" x14ac:dyDescent="0.3">
      <c r="A69" s="384"/>
      <c r="B69" s="256"/>
      <c r="C69" s="256"/>
      <c r="D69" s="262"/>
    </row>
    <row r="70" spans="1:10" x14ac:dyDescent="0.3">
      <c r="A70" s="384"/>
      <c r="B70" s="256"/>
      <c r="C70" s="256"/>
      <c r="D70" s="262"/>
      <c r="J70" s="30"/>
    </row>
    <row r="71" spans="1:10" x14ac:dyDescent="0.3">
      <c r="A71" s="384"/>
      <c r="B71" s="256"/>
      <c r="C71" s="256"/>
      <c r="D71" s="262"/>
    </row>
    <row r="72" spans="1:10" x14ac:dyDescent="0.3">
      <c r="A72" s="384"/>
      <c r="B72" s="256"/>
      <c r="C72" s="256"/>
      <c r="D72" s="262"/>
    </row>
    <row r="73" spans="1:10" s="16" customFormat="1" x14ac:dyDescent="0.3">
      <c r="A73" s="384"/>
      <c r="B73" s="256"/>
      <c r="C73" s="256"/>
      <c r="D73" s="262"/>
      <c r="E73" s="258"/>
      <c r="F73" s="258"/>
      <c r="G73" s="258"/>
      <c r="H73"/>
      <c r="I73"/>
      <c r="J73"/>
    </row>
    <row r="74" spans="1:10" ht="14.25" customHeight="1" x14ac:dyDescent="0.3">
      <c r="A74" s="384"/>
      <c r="B74" s="256"/>
      <c r="C74" s="256"/>
      <c r="D74" s="262"/>
    </row>
    <row r="75" spans="1:10" x14ac:dyDescent="0.3">
      <c r="A75" s="384"/>
      <c r="B75" s="256"/>
      <c r="D75" s="262"/>
    </row>
    <row r="76" spans="1:10" x14ac:dyDescent="0.3">
      <c r="A76" s="384"/>
      <c r="B76" s="256"/>
      <c r="C76" s="256"/>
      <c r="D76" s="262"/>
    </row>
    <row r="77" spans="1:10" x14ac:dyDescent="0.3">
      <c r="A77" s="384"/>
      <c r="B77" s="256"/>
      <c r="C77" s="256"/>
      <c r="D77" s="262"/>
      <c r="J77" s="31"/>
    </row>
    <row r="78" spans="1:10" x14ac:dyDescent="0.3">
      <c r="A78" s="384"/>
      <c r="B78" s="256"/>
      <c r="C78" s="256"/>
      <c r="D78" s="262"/>
    </row>
    <row r="79" spans="1:10" x14ac:dyDescent="0.3">
      <c r="A79" s="384"/>
      <c r="B79" s="256"/>
      <c r="C79" s="256"/>
      <c r="D79" s="262"/>
    </row>
    <row r="80" spans="1:10" x14ac:dyDescent="0.3">
      <c r="A80" s="384"/>
      <c r="B80" s="256"/>
      <c r="C80" s="256"/>
      <c r="D80" s="262"/>
    </row>
    <row r="81" spans="1:10" x14ac:dyDescent="0.3">
      <c r="A81" s="384"/>
      <c r="B81" s="256"/>
      <c r="C81" s="256"/>
      <c r="D81" s="262"/>
    </row>
    <row r="82" spans="1:10" x14ac:dyDescent="0.3">
      <c r="A82" s="384"/>
      <c r="B82" s="256"/>
      <c r="C82" s="256"/>
      <c r="D82" s="262"/>
    </row>
    <row r="83" spans="1:10" x14ac:dyDescent="0.3">
      <c r="A83" s="384"/>
      <c r="B83" s="256"/>
      <c r="C83" s="256"/>
      <c r="D83" s="262"/>
    </row>
    <row r="84" spans="1:10" x14ac:dyDescent="0.3">
      <c r="A84" s="384"/>
      <c r="B84" s="256"/>
      <c r="C84" s="256"/>
      <c r="D84" s="262"/>
    </row>
    <row r="85" spans="1:10" x14ac:dyDescent="0.3">
      <c r="A85" s="384"/>
      <c r="B85" s="256"/>
      <c r="C85" s="256"/>
      <c r="D85" s="262"/>
    </row>
    <row r="86" spans="1:10" x14ac:dyDescent="0.3">
      <c r="A86" s="384"/>
      <c r="B86" s="256"/>
      <c r="C86" s="256"/>
      <c r="D86" s="262"/>
    </row>
    <row r="87" spans="1:10" x14ac:dyDescent="0.3">
      <c r="A87" s="384"/>
      <c r="B87" s="256"/>
      <c r="C87" s="256"/>
      <c r="D87" s="262"/>
    </row>
    <row r="88" spans="1:10" x14ac:dyDescent="0.3">
      <c r="A88" s="384"/>
      <c r="B88" s="256"/>
      <c r="C88" s="256"/>
      <c r="D88" s="262"/>
    </row>
    <row r="89" spans="1:10" x14ac:dyDescent="0.3">
      <c r="A89" s="384"/>
      <c r="B89" s="256"/>
      <c r="C89" s="256"/>
      <c r="D89" s="262"/>
    </row>
    <row r="90" spans="1:10" x14ac:dyDescent="0.3">
      <c r="A90" s="384"/>
      <c r="B90" s="256"/>
      <c r="C90" s="256"/>
      <c r="D90" s="262"/>
    </row>
    <row r="91" spans="1:10" x14ac:dyDescent="0.3">
      <c r="A91" s="384"/>
      <c r="B91" s="256"/>
      <c r="C91" s="256"/>
      <c r="D91" s="262"/>
    </row>
    <row r="92" spans="1:10" x14ac:dyDescent="0.3">
      <c r="A92" s="384"/>
      <c r="B92" s="256"/>
      <c r="C92" s="256"/>
      <c r="D92" s="262"/>
    </row>
    <row r="93" spans="1:10" x14ac:dyDescent="0.3">
      <c r="A93" s="384"/>
      <c r="B93" s="256"/>
      <c r="C93" s="256"/>
      <c r="D93" s="262"/>
    </row>
    <row r="94" spans="1:10" s="16" customFormat="1" x14ac:dyDescent="0.3">
      <c r="A94" s="384"/>
      <c r="B94" s="256"/>
      <c r="C94" s="256"/>
      <c r="D94" s="262"/>
      <c r="E94" s="258"/>
      <c r="F94" s="258"/>
      <c r="G94" s="258"/>
      <c r="H94"/>
      <c r="I94"/>
      <c r="J94"/>
    </row>
    <row r="95" spans="1:10" s="16" customFormat="1" ht="15.75" customHeight="1" x14ac:dyDescent="0.3">
      <c r="A95" s="384"/>
      <c r="B95" s="256"/>
      <c r="C95" s="256"/>
      <c r="D95" s="262"/>
      <c r="E95" s="258"/>
      <c r="F95" s="258"/>
      <c r="G95" s="258"/>
      <c r="H95"/>
      <c r="I95"/>
      <c r="J95"/>
    </row>
    <row r="96" spans="1:10" s="16" customFormat="1" x14ac:dyDescent="0.3">
      <c r="A96" s="384"/>
      <c r="B96" s="256"/>
      <c r="C96" s="256"/>
      <c r="D96" s="262"/>
      <c r="E96" s="258"/>
      <c r="F96" s="258"/>
      <c r="G96" s="258"/>
      <c r="H96"/>
      <c r="I96"/>
      <c r="J96"/>
    </row>
    <row r="97" spans="1:10" s="16" customFormat="1" x14ac:dyDescent="0.3">
      <c r="A97" s="384"/>
      <c r="B97" s="256"/>
      <c r="C97" s="256"/>
      <c r="D97" s="262"/>
      <c r="E97" s="258"/>
      <c r="F97" s="258"/>
      <c r="G97" s="258"/>
      <c r="H97"/>
      <c r="I97"/>
      <c r="J97"/>
    </row>
    <row r="98" spans="1:10" x14ac:dyDescent="0.3">
      <c r="A98" s="384"/>
      <c r="B98" s="256"/>
      <c r="C98" s="256"/>
      <c r="D98" s="262"/>
    </row>
    <row r="99" spans="1:10" x14ac:dyDescent="0.3">
      <c r="A99" s="384"/>
      <c r="B99" s="256"/>
      <c r="C99" s="256"/>
      <c r="D99" s="262"/>
    </row>
    <row r="100" spans="1:10" s="16" customFormat="1" x14ac:dyDescent="0.3">
      <c r="A100" s="384"/>
      <c r="B100" s="256"/>
      <c r="C100" s="256"/>
      <c r="D100" s="262"/>
      <c r="E100" s="258"/>
      <c r="F100" s="258"/>
      <c r="G100" s="258"/>
      <c r="H100"/>
      <c r="I100"/>
      <c r="J100"/>
    </row>
    <row r="101" spans="1:10" x14ac:dyDescent="0.3">
      <c r="A101" s="384"/>
      <c r="B101" s="256"/>
      <c r="C101" s="256"/>
      <c r="D101" s="262"/>
    </row>
    <row r="102" spans="1:10" x14ac:dyDescent="0.3">
      <c r="A102" s="384"/>
      <c r="B102" s="256"/>
      <c r="C102" s="256"/>
      <c r="D102" s="262"/>
    </row>
    <row r="103" spans="1:10" x14ac:dyDescent="0.3">
      <c r="A103" s="384"/>
      <c r="B103" s="256"/>
      <c r="C103" s="256"/>
      <c r="D103" s="262"/>
    </row>
    <row r="104" spans="1:10" x14ac:dyDescent="0.3">
      <c r="A104" s="384"/>
      <c r="B104" s="256"/>
      <c r="C104" s="256"/>
      <c r="D104" s="262"/>
    </row>
    <row r="105" spans="1:10" x14ac:dyDescent="0.3">
      <c r="A105" s="384"/>
      <c r="B105" s="256"/>
      <c r="C105" s="256"/>
      <c r="D105" s="262"/>
    </row>
    <row r="106" spans="1:10" x14ac:dyDescent="0.3">
      <c r="A106" s="384"/>
      <c r="B106" s="256"/>
      <c r="C106" s="256"/>
      <c r="D106" s="262"/>
    </row>
    <row r="107" spans="1:10" x14ac:dyDescent="0.3">
      <c r="A107" s="384"/>
      <c r="B107" s="256"/>
      <c r="C107" s="256"/>
      <c r="D107" s="262"/>
    </row>
    <row r="108" spans="1:10" x14ac:dyDescent="0.3">
      <c r="A108" s="384"/>
      <c r="B108" s="256"/>
      <c r="C108" s="256"/>
      <c r="D108" s="262"/>
    </row>
    <row r="109" spans="1:10" s="16" customFormat="1" x14ac:dyDescent="0.3">
      <c r="A109" s="384"/>
      <c r="B109" s="256"/>
      <c r="C109" s="256"/>
      <c r="D109" s="262"/>
      <c r="E109" s="258"/>
      <c r="F109" s="258"/>
      <c r="G109" s="258"/>
      <c r="H109"/>
      <c r="I109"/>
      <c r="J109"/>
    </row>
    <row r="110" spans="1:10" x14ac:dyDescent="0.3">
      <c r="A110" s="384"/>
      <c r="B110" s="256"/>
      <c r="C110" s="256"/>
      <c r="D110" s="262"/>
    </row>
    <row r="111" spans="1:10" x14ac:dyDescent="0.3">
      <c r="A111" s="384"/>
      <c r="B111" s="256"/>
      <c r="C111" s="256"/>
      <c r="D111" s="262"/>
    </row>
    <row r="112" spans="1:10" x14ac:dyDescent="0.3">
      <c r="A112" s="384"/>
      <c r="B112" s="256"/>
      <c r="C112" s="256"/>
      <c r="D112" s="262"/>
    </row>
    <row r="113" spans="1:9" x14ac:dyDescent="0.3">
      <c r="A113" s="384"/>
      <c r="B113" s="256"/>
      <c r="C113" s="256"/>
      <c r="D113" s="262"/>
    </row>
    <row r="114" spans="1:9" x14ac:dyDescent="0.3">
      <c r="A114" s="384"/>
      <c r="B114" s="256"/>
      <c r="C114" s="256"/>
    </row>
    <row r="115" spans="1:9" x14ac:dyDescent="0.3">
      <c r="A115" s="384"/>
      <c r="B115" s="256"/>
      <c r="C115" s="256"/>
    </row>
    <row r="116" spans="1:9" x14ac:dyDescent="0.3">
      <c r="A116" s="384"/>
      <c r="B116" s="256"/>
      <c r="C116" s="256"/>
    </row>
    <row r="117" spans="1:9" x14ac:dyDescent="0.3">
      <c r="A117" s="384"/>
      <c r="B117" s="256"/>
      <c r="C117" s="256"/>
    </row>
    <row r="118" spans="1:9" s="1" customFormat="1" x14ac:dyDescent="0.3">
      <c r="A118" s="384"/>
      <c r="B118" s="256"/>
      <c r="C118" s="256"/>
      <c r="D118" s="267"/>
      <c r="E118" s="258"/>
      <c r="F118" s="258"/>
      <c r="G118" s="258"/>
      <c r="H118"/>
      <c r="I118"/>
    </row>
    <row r="119" spans="1:9" x14ac:dyDescent="0.3">
      <c r="A119" s="384"/>
      <c r="B119" s="256"/>
      <c r="C119" s="256"/>
    </row>
    <row r="120" spans="1:9" x14ac:dyDescent="0.3">
      <c r="A120" s="384"/>
      <c r="B120" s="256"/>
      <c r="C120" s="256"/>
    </row>
    <row r="121" spans="1:9" x14ac:dyDescent="0.3">
      <c r="A121" s="384"/>
      <c r="B121" s="256"/>
      <c r="C121" s="256"/>
    </row>
    <row r="122" spans="1:9" x14ac:dyDescent="0.3">
      <c r="A122" s="384"/>
    </row>
    <row r="123" spans="1:9" x14ac:dyDescent="0.3">
      <c r="A123" s="384"/>
    </row>
  </sheetData>
  <customSheetViews>
    <customSheetView guid="{2123B791-50DF-4EA7-BAE2-957C996FE8CB}">
      <pane xSplit="1" ySplit="1" topLeftCell="G85" activePane="bottomRight" state="frozenSplit"/>
      <selection pane="bottomRight" activeCell="R105" sqref="R105"/>
      <pageMargins left="0.7" right="0.7" top="0.75" bottom="0.75" header="0.1" footer="0.3"/>
      <pageSetup orientation="portrait" r:id="rId1"/>
      <headerFooter>
        <oddHeader>&amp;L&amp;"Arial,Bold"&amp;8 5:45 PM
&amp;"Arial,Bold"&amp;8 09/13/19
&amp;"Arial,Bold"&amp;8 Accrual Basis&amp;C&amp;"Arial,Bold"&amp;12 Gorilla Marketing
&amp;"Arial,Bold"&amp;14 Balance Sheet
&amp;"Arial,Bold"&amp;10 As of August 31, 2019</oddHeader>
        <oddFooter>&amp;R&amp;"Arial,Bold"&amp;8 Page &amp;P of &amp;N</oddFooter>
      </headerFooter>
    </customSheetView>
  </customSheetViews>
  <conditionalFormatting sqref="H1:I44 G46 H47:I1048576">
    <cfRule type="cellIs" dxfId="0" priority="2" operator="equal">
      <formula>"No Match"</formula>
    </cfRule>
  </conditionalFormatting>
  <pageMargins left="0.7" right="0.7" top="0.75" bottom="0.75" header="0.1" footer="0.3"/>
  <pageSetup orientation="portrait" r:id="rId2"/>
  <headerFooter>
    <oddHeader>&amp;L&amp;"Arial,Bold"&amp;8 5:45 PM
&amp;"Arial,Bold"&amp;8 09/13/19
&amp;"Arial,Bold"&amp;8 Accrual Basis&amp;C&amp;"Arial,Bold"&amp;12 Gorilla Marketing
&amp;"Arial,Bold"&amp;14 Balance Sheet
&amp;"Arial,Bold"&amp;10 As of August 31, 2019</oddHeader>
    <oddFooter>&amp;R&amp;"Arial,Bold"&amp;8 Page &amp;P of &amp;N</oddFooter>
  </headerFooter>
  <drawing r:id="rId3"/>
  <legacyDrawing r:id="rId4"/>
  <controls>
    <mc:AlternateContent xmlns:mc="http://schemas.openxmlformats.org/markup-compatibility/2006">
      <mc:Choice Requires="x14">
        <control shapeId="38913" r:id="rId5" name="FILTER">
          <controlPr defaultSize="0" autoLin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38913" r:id="rId5" name="FILTER"/>
      </mc:Fallback>
    </mc:AlternateContent>
    <mc:AlternateContent xmlns:mc="http://schemas.openxmlformats.org/markup-compatibility/2006">
      <mc:Choice Requires="x14">
        <control shapeId="38914" r:id="rId7" name="HEADER">
          <controlPr defaultSize="0" autoLine="0" r:id="rId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38914" r:id="rId7" name="HEADER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F52B-322F-4061-ADB9-CEE8BAEEC2C2}">
  <sheetPr codeName="Sheet5">
    <tabColor rgb="FF92D050"/>
  </sheetPr>
  <dimension ref="A1:W60"/>
  <sheetViews>
    <sheetView workbookViewId="0">
      <selection activeCell="S28" sqref="S28"/>
    </sheetView>
  </sheetViews>
  <sheetFormatPr defaultColWidth="9.109375" defaultRowHeight="13.2" outlineLevelRow="1" x14ac:dyDescent="0.3"/>
  <cols>
    <col min="1" max="1" width="35.33203125" style="4" bestFit="1" customWidth="1"/>
    <col min="2" max="2" width="25.6640625" style="4" hidden="1" customWidth="1"/>
    <col min="3" max="3" width="9.6640625" style="4" hidden="1" customWidth="1"/>
    <col min="4" max="4" width="32.5546875" style="4" hidden="1" customWidth="1"/>
    <col min="5" max="5" width="9.109375" style="4" hidden="1" customWidth="1"/>
    <col min="6" max="6" width="11.6640625" style="4" hidden="1" customWidth="1"/>
    <col min="7" max="7" width="11.5546875" style="4" hidden="1" customWidth="1"/>
    <col min="8" max="9" width="1" style="4" hidden="1" customWidth="1"/>
    <col min="10" max="10" width="14.44140625" style="4" hidden="1" customWidth="1"/>
    <col min="11" max="11" width="18.44140625" style="4" hidden="1" customWidth="1"/>
    <col min="12" max="12" width="4.33203125" style="4" hidden="1" customWidth="1"/>
    <col min="13" max="13" width="1.88671875" style="4" customWidth="1"/>
    <col min="14" max="14" width="4.33203125" style="4" bestFit="1" customWidth="1"/>
    <col min="15" max="15" width="20.88671875" style="4" bestFit="1" customWidth="1"/>
    <col min="16" max="16" width="2.88671875" style="4" customWidth="1"/>
    <col min="17" max="17" width="1.88671875" style="4" customWidth="1"/>
    <col min="18" max="18" width="19" style="4" customWidth="1"/>
    <col min="19" max="19" width="2.88671875" style="4" customWidth="1"/>
    <col min="20" max="20" width="24" style="4" customWidth="1"/>
    <col min="21" max="21" width="9.33203125" style="4" bestFit="1" customWidth="1"/>
    <col min="22" max="16384" width="9.109375" style="4"/>
  </cols>
  <sheetData>
    <row r="1" spans="1:21" ht="15.6" x14ac:dyDescent="0.3">
      <c r="A1" s="2" t="s">
        <v>81</v>
      </c>
      <c r="B1" s="3"/>
      <c r="O1" s="75" t="s">
        <v>39</v>
      </c>
    </row>
    <row r="2" spans="1:21" ht="15.6" x14ac:dyDescent="0.3">
      <c r="A2" s="2"/>
      <c r="B2" s="3"/>
    </row>
    <row r="3" spans="1:21" ht="13.8" x14ac:dyDescent="0.3">
      <c r="A3" s="5" t="s">
        <v>0</v>
      </c>
      <c r="F3" s="372"/>
      <c r="O3" s="373">
        <v>62443.29</v>
      </c>
    </row>
    <row r="4" spans="1:21" ht="14.4" x14ac:dyDescent="0.3">
      <c r="A4" s="6"/>
      <c r="O4"/>
    </row>
    <row r="5" spans="1:21" ht="13.8" x14ac:dyDescent="0.3">
      <c r="A5" s="5" t="s">
        <v>1</v>
      </c>
      <c r="F5" s="372"/>
      <c r="O5" s="373">
        <v>-93222.5</v>
      </c>
    </row>
    <row r="7" spans="1:21" ht="11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14"/>
      <c r="P7" s="8"/>
      <c r="Q7" s="8"/>
      <c r="R7" s="8"/>
      <c r="S7" s="8"/>
    </row>
    <row r="8" spans="1:21" ht="13.8" x14ac:dyDescent="0.3">
      <c r="A8" s="5" t="s">
        <v>3</v>
      </c>
      <c r="F8" s="372"/>
      <c r="O8" s="373">
        <v>56723.41</v>
      </c>
    </row>
    <row r="9" spans="1:21" ht="11.2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21" ht="17.25" customHeight="1" x14ac:dyDescent="0.3">
      <c r="A10" s="5" t="s">
        <v>268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73">
        <v>0</v>
      </c>
      <c r="P10" s="8"/>
      <c r="Q10" s="8"/>
      <c r="R10" s="8"/>
      <c r="S10" s="8"/>
    </row>
    <row r="11" spans="1:21" ht="11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21" ht="13.8" x14ac:dyDescent="0.3">
      <c r="A12" s="5" t="s">
        <v>4</v>
      </c>
      <c r="O12" s="374">
        <f>O3+O5+O8+O10</f>
        <v>25944.200000000004</v>
      </c>
    </row>
    <row r="13" spans="1:21" ht="13.8" x14ac:dyDescent="0.3">
      <c r="A13" s="7"/>
    </row>
    <row r="14" spans="1:21" ht="13.8" x14ac:dyDescent="0.3">
      <c r="A14" s="5" t="s">
        <v>5</v>
      </c>
      <c r="F14" s="372"/>
      <c r="O14" s="375">
        <f>G41</f>
        <v>0</v>
      </c>
    </row>
    <row r="15" spans="1:21" ht="13.8" x14ac:dyDescent="0.3">
      <c r="A15" s="7"/>
    </row>
    <row r="16" spans="1:21" s="20" customFormat="1" ht="41.1" customHeight="1" outlineLevel="1" x14ac:dyDescent="0.3">
      <c r="A16" s="435" t="s">
        <v>82</v>
      </c>
      <c r="B16" s="436"/>
      <c r="C16" s="436"/>
      <c r="D16" s="436"/>
      <c r="E16" s="436"/>
      <c r="F16" s="436"/>
      <c r="G16" s="436"/>
      <c r="H16" s="436"/>
      <c r="I16" s="436"/>
      <c r="J16" s="436"/>
      <c r="K16" s="436"/>
      <c r="L16" s="436"/>
      <c r="M16" s="436"/>
      <c r="N16" s="436"/>
      <c r="O16" s="436"/>
      <c r="P16" s="437"/>
      <c r="Q16" s="437"/>
      <c r="R16" s="437"/>
      <c r="S16" s="24"/>
      <c r="T16" s="438"/>
      <c r="U16" s="438"/>
    </row>
    <row r="17" spans="1:19" s="20" customFormat="1" ht="11.25" customHeight="1" outlineLevel="1" x14ac:dyDescent="0.2">
      <c r="A17" s="57"/>
      <c r="B17" s="58"/>
      <c r="C17" s="57"/>
      <c r="D17" s="57"/>
      <c r="E17" s="59"/>
      <c r="F17" s="60"/>
      <c r="G17" s="60"/>
      <c r="H17" s="61"/>
      <c r="I17" s="65"/>
      <c r="J17" s="65"/>
      <c r="K17" s="65"/>
      <c r="L17" s="65"/>
      <c r="M17" s="65"/>
      <c r="N17" s="65"/>
      <c r="O17" s="62"/>
      <c r="P17" s="27"/>
      <c r="Q17" s="28"/>
      <c r="R17" s="28"/>
      <c r="S17" s="28"/>
    </row>
    <row r="18" spans="1:19" s="36" customFormat="1" ht="11.25" customHeight="1" outlineLevel="1" x14ac:dyDescent="0.2">
      <c r="A18" s="57"/>
      <c r="B18" s="58"/>
      <c r="C18" s="57"/>
      <c r="D18" s="57"/>
      <c r="E18" s="59"/>
      <c r="F18" s="60"/>
      <c r="G18" s="63"/>
      <c r="H18" s="64"/>
      <c r="I18" s="65"/>
      <c r="J18" s="65"/>
      <c r="K18" s="65"/>
      <c r="L18" s="65"/>
      <c r="M18" s="65"/>
      <c r="N18" s="65"/>
      <c r="O18" s="62"/>
      <c r="P18" s="27"/>
      <c r="Q18" s="35"/>
      <c r="R18" s="35"/>
      <c r="S18" s="35"/>
    </row>
    <row r="19" spans="1:19" s="39" customFormat="1" ht="11.25" customHeight="1" outlineLevel="1" x14ac:dyDescent="0.2">
      <c r="A19" s="66"/>
      <c r="B19" s="67"/>
      <c r="C19" s="66"/>
      <c r="D19" s="66"/>
      <c r="E19" s="68"/>
      <c r="F19" s="69"/>
      <c r="G19" s="69"/>
      <c r="H19" s="70"/>
      <c r="I19" s="70"/>
      <c r="J19" s="70"/>
      <c r="K19" s="70"/>
      <c r="L19" s="70"/>
      <c r="M19" s="70"/>
      <c r="N19" s="70"/>
      <c r="O19" s="71"/>
      <c r="P19" s="37"/>
      <c r="Q19" s="38"/>
      <c r="R19" s="38"/>
      <c r="S19" s="38"/>
    </row>
    <row r="20" spans="1:19" s="36" customFormat="1" ht="11.25" customHeight="1" outlineLevel="1" x14ac:dyDescent="0.2">
      <c r="A20" s="57"/>
      <c r="B20" s="58"/>
      <c r="C20" s="57"/>
      <c r="D20" s="57"/>
      <c r="E20" s="59"/>
      <c r="F20" s="60"/>
      <c r="G20" s="63"/>
      <c r="H20" s="65"/>
      <c r="I20" s="65"/>
      <c r="J20" s="65"/>
      <c r="K20" s="65"/>
      <c r="L20" s="65"/>
      <c r="M20" s="65"/>
      <c r="N20" s="65"/>
      <c r="O20" s="62"/>
      <c r="P20" s="27"/>
      <c r="Q20" s="35"/>
      <c r="R20" s="35"/>
      <c r="S20" s="35"/>
    </row>
    <row r="21" spans="1:19" s="36" customFormat="1" ht="11.25" customHeight="1" outlineLevel="1" x14ac:dyDescent="0.2">
      <c r="A21" s="57"/>
      <c r="B21" s="58"/>
      <c r="C21" s="57"/>
      <c r="D21" s="57"/>
      <c r="E21" s="59"/>
      <c r="F21" s="60"/>
      <c r="G21" s="63"/>
      <c r="H21" s="64"/>
      <c r="I21" s="65"/>
      <c r="J21" s="65"/>
      <c r="K21" s="65"/>
      <c r="L21" s="65"/>
      <c r="M21" s="65"/>
      <c r="N21" s="65"/>
      <c r="O21" s="62"/>
      <c r="P21" s="27"/>
      <c r="Q21" s="35"/>
      <c r="R21" s="35"/>
      <c r="S21" s="35"/>
    </row>
    <row r="22" spans="1:19" s="39" customFormat="1" ht="11.25" customHeight="1" outlineLevel="1" x14ac:dyDescent="0.2">
      <c r="A22" s="66"/>
      <c r="B22" s="67"/>
      <c r="C22" s="66"/>
      <c r="D22" s="66"/>
      <c r="E22" s="68"/>
      <c r="F22" s="69"/>
      <c r="G22" s="69"/>
      <c r="H22" s="70"/>
      <c r="I22" s="70"/>
      <c r="J22" s="70"/>
      <c r="K22" s="70"/>
      <c r="L22" s="70"/>
      <c r="M22" s="70"/>
      <c r="N22" s="70"/>
      <c r="O22" s="71"/>
      <c r="P22" s="37"/>
      <c r="Q22" s="38"/>
      <c r="R22" s="38"/>
      <c r="S22" s="38"/>
    </row>
    <row r="23" spans="1:19" s="36" customFormat="1" ht="11.25" customHeight="1" outlineLevel="1" x14ac:dyDescent="0.2">
      <c r="A23" s="57"/>
      <c r="B23" s="58"/>
      <c r="C23" s="57"/>
      <c r="D23" s="57"/>
      <c r="E23" s="59"/>
      <c r="F23" s="60"/>
      <c r="G23" s="63"/>
      <c r="H23" s="65"/>
      <c r="I23" s="65"/>
      <c r="J23" s="65"/>
      <c r="K23" s="65"/>
      <c r="L23" s="65"/>
      <c r="M23" s="65"/>
      <c r="N23" s="65"/>
      <c r="O23" s="62"/>
      <c r="P23" s="27"/>
      <c r="Q23" s="35"/>
      <c r="R23" s="35"/>
      <c r="S23" s="35"/>
    </row>
    <row r="24" spans="1:19" s="36" customFormat="1" ht="11.25" customHeight="1" outlineLevel="1" x14ac:dyDescent="0.2">
      <c r="A24" s="57"/>
      <c r="B24" s="58"/>
      <c r="C24" s="57"/>
      <c r="D24" s="57"/>
      <c r="E24" s="59"/>
      <c r="F24" s="60"/>
      <c r="G24" s="63"/>
      <c r="H24" s="65"/>
      <c r="I24" s="65"/>
      <c r="J24" s="65"/>
      <c r="K24" s="65"/>
      <c r="L24" s="65"/>
      <c r="M24" s="65"/>
      <c r="N24" s="65"/>
      <c r="O24" s="62"/>
      <c r="P24" s="27"/>
      <c r="Q24" s="35"/>
      <c r="R24" s="35"/>
      <c r="S24" s="35"/>
    </row>
    <row r="25" spans="1:19" s="36" customFormat="1" ht="16.5" customHeight="1" outlineLevel="1" x14ac:dyDescent="0.3">
      <c r="A25" s="53"/>
      <c r="B25" s="58"/>
      <c r="C25" s="57"/>
      <c r="D25" s="57"/>
      <c r="E25" s="72"/>
      <c r="F25" s="73"/>
      <c r="G25" s="63"/>
      <c r="H25" s="74"/>
      <c r="I25" s="74"/>
      <c r="J25" s="74"/>
      <c r="K25" s="74"/>
      <c r="L25" s="74"/>
      <c r="M25" s="74"/>
      <c r="N25" s="74"/>
      <c r="O25" s="74"/>
      <c r="P25" s="16"/>
      <c r="Q25" s="16"/>
      <c r="R25" s="16"/>
      <c r="S25" s="16"/>
    </row>
    <row r="26" spans="1:19" s="36" customFormat="1" ht="16.5" customHeight="1" outlineLevel="1" x14ac:dyDescent="0.3">
      <c r="A26" s="57"/>
      <c r="B26" s="58"/>
      <c r="C26" s="57"/>
      <c r="D26" s="57"/>
      <c r="E26" s="72"/>
      <c r="F26" s="73"/>
      <c r="G26" s="63"/>
      <c r="H26" s="74"/>
      <c r="I26" s="74"/>
      <c r="J26" s="74"/>
      <c r="K26" s="74"/>
      <c r="L26" s="74"/>
      <c r="M26" s="74"/>
      <c r="N26" s="74"/>
      <c r="O26" s="74"/>
      <c r="P26" s="16"/>
      <c r="Q26" s="16"/>
      <c r="R26" s="16"/>
      <c r="S26" s="16"/>
    </row>
    <row r="27" spans="1:19" s="36" customFormat="1" ht="16.5" customHeight="1" outlineLevel="1" x14ac:dyDescent="0.3">
      <c r="A27" s="57"/>
      <c r="B27" s="58"/>
      <c r="C27" s="57"/>
      <c r="D27" s="57"/>
      <c r="E27" s="72"/>
      <c r="F27" s="73"/>
      <c r="G27" s="63"/>
      <c r="H27" s="74"/>
      <c r="I27" s="74"/>
      <c r="J27" s="74"/>
      <c r="K27" s="74"/>
      <c r="L27" s="74"/>
      <c r="M27" s="74"/>
      <c r="N27" s="74"/>
      <c r="O27" s="74"/>
      <c r="P27" s="16"/>
      <c r="Q27" s="16"/>
      <c r="R27" s="16"/>
      <c r="S27" s="16"/>
    </row>
    <row r="28" spans="1:19" s="20" customFormat="1" ht="16.5" customHeight="1" outlineLevel="1" x14ac:dyDescent="0.3">
      <c r="A28" s="18"/>
      <c r="B28" s="32"/>
      <c r="C28" s="18"/>
      <c r="D28" s="18"/>
      <c r="E28" s="34"/>
      <c r="F28" s="17"/>
      <c r="G28" s="21"/>
      <c r="H28"/>
      <c r="I28"/>
      <c r="J28"/>
      <c r="K28"/>
      <c r="L28"/>
      <c r="M28"/>
      <c r="N28"/>
      <c r="O28"/>
      <c r="P28"/>
      <c r="Q28"/>
      <c r="R28"/>
      <c r="S28"/>
    </row>
    <row r="29" spans="1:19" s="20" customFormat="1" ht="16.5" customHeight="1" outlineLevel="1" x14ac:dyDescent="0.3">
      <c r="A29" s="18"/>
      <c r="B29" s="32"/>
      <c r="C29" s="18"/>
      <c r="D29" s="18"/>
      <c r="E29" s="34"/>
      <c r="F29" s="17"/>
      <c r="G29" s="21"/>
      <c r="H29"/>
      <c r="I29"/>
      <c r="J29"/>
      <c r="K29"/>
      <c r="L29"/>
      <c r="M29"/>
      <c r="N29"/>
      <c r="O29"/>
      <c r="P29"/>
      <c r="Q29"/>
      <c r="R29"/>
      <c r="S29"/>
    </row>
    <row r="30" spans="1:19" s="20" customFormat="1" ht="16.5" customHeight="1" outlineLevel="1" x14ac:dyDescent="0.3">
      <c r="A30" s="18"/>
      <c r="B30" s="32"/>
      <c r="C30" s="18"/>
      <c r="D30" s="18"/>
      <c r="E30" s="34"/>
      <c r="F30" s="17"/>
      <c r="G30" s="21"/>
      <c r="H30"/>
      <c r="I30"/>
      <c r="J30"/>
      <c r="K30"/>
      <c r="L30"/>
      <c r="M30"/>
      <c r="N30"/>
      <c r="O30"/>
      <c r="P30"/>
      <c r="Q30"/>
      <c r="R30"/>
      <c r="S30"/>
    </row>
    <row r="31" spans="1:19" s="20" customFormat="1" ht="16.5" customHeight="1" outlineLevel="1" x14ac:dyDescent="0.3">
      <c r="A31" s="18"/>
      <c r="B31" s="32"/>
      <c r="C31" s="18"/>
      <c r="D31" s="18"/>
      <c r="E31" s="34"/>
      <c r="F31" s="17"/>
      <c r="G31" s="21"/>
      <c r="H31"/>
      <c r="I31"/>
      <c r="J31"/>
      <c r="K31"/>
      <c r="L31"/>
      <c r="M31"/>
      <c r="N31"/>
      <c r="O31"/>
      <c r="P31"/>
      <c r="Q31"/>
      <c r="R31"/>
      <c r="S31"/>
    </row>
    <row r="32" spans="1:19" s="20" customFormat="1" ht="22.5" customHeight="1" outlineLevel="1" x14ac:dyDescent="0.3">
      <c r="A32" s="18"/>
      <c r="B32" s="32"/>
      <c r="C32" s="18"/>
      <c r="D32" s="18"/>
      <c r="E32" s="34"/>
      <c r="F32" s="17"/>
      <c r="G32" s="21"/>
      <c r="H32"/>
      <c r="I32"/>
      <c r="J32"/>
      <c r="K32"/>
      <c r="L32"/>
      <c r="M32"/>
      <c r="N32"/>
      <c r="O32"/>
      <c r="P32"/>
      <c r="Q32"/>
      <c r="R32"/>
      <c r="S32"/>
    </row>
    <row r="33" spans="1:19" s="20" customFormat="1" ht="16.5" customHeight="1" outlineLevel="1" x14ac:dyDescent="0.3">
      <c r="A33" s="18"/>
      <c r="B33" s="32"/>
      <c r="C33" s="18"/>
      <c r="D33" s="18"/>
      <c r="E33" s="34"/>
      <c r="F33" s="17"/>
      <c r="G33" s="21"/>
      <c r="H33"/>
      <c r="I33"/>
      <c r="J33"/>
      <c r="K33"/>
      <c r="L33"/>
      <c r="M33"/>
      <c r="N33"/>
      <c r="O33"/>
      <c r="P33"/>
      <c r="Q33"/>
      <c r="R33"/>
      <c r="S33"/>
    </row>
    <row r="34" spans="1:19" s="20" customFormat="1" ht="16.5" customHeight="1" outlineLevel="1" x14ac:dyDescent="0.3">
      <c r="A34" s="18"/>
      <c r="B34" s="32"/>
      <c r="C34" s="18"/>
      <c r="D34" s="18"/>
      <c r="E34" s="34"/>
      <c r="F34" s="17"/>
      <c r="G34" s="21"/>
      <c r="H34"/>
      <c r="I34"/>
      <c r="J34"/>
      <c r="K34"/>
      <c r="L34"/>
      <c r="M34"/>
      <c r="N34"/>
      <c r="O34"/>
      <c r="P34"/>
      <c r="Q34"/>
      <c r="R34"/>
      <c r="S34"/>
    </row>
    <row r="35" spans="1:19" s="20" customFormat="1" ht="16.5" customHeight="1" outlineLevel="1" x14ac:dyDescent="0.3">
      <c r="A35" s="18"/>
      <c r="B35" s="32"/>
      <c r="C35" s="18"/>
      <c r="D35" s="18"/>
      <c r="E35" s="33"/>
      <c r="F35" s="17"/>
      <c r="G35" s="21"/>
      <c r="H35"/>
      <c r="I35"/>
      <c r="J35"/>
      <c r="K35"/>
      <c r="L35"/>
      <c r="M35"/>
      <c r="N35"/>
      <c r="O35"/>
      <c r="P35"/>
      <c r="Q35"/>
      <c r="R35"/>
      <c r="S35"/>
    </row>
    <row r="36" spans="1:19" s="20" customFormat="1" ht="16.5" customHeight="1" outlineLevel="1" x14ac:dyDescent="0.3">
      <c r="A36"/>
      <c r="B36" s="14"/>
      <c r="C36"/>
      <c r="D36"/>
      <c r="E36"/>
      <c r="F36" s="29"/>
      <c r="G36" s="376"/>
      <c r="H36"/>
      <c r="I36"/>
      <c r="J36"/>
      <c r="K36"/>
      <c r="L36"/>
      <c r="M36"/>
      <c r="N36"/>
      <c r="O36"/>
      <c r="P36"/>
      <c r="Q36"/>
      <c r="R36"/>
      <c r="S36"/>
    </row>
    <row r="37" spans="1:19" s="20" customFormat="1" ht="16.5" customHeight="1" outlineLevel="1" x14ac:dyDescent="0.3">
      <c r="A37"/>
      <c r="B37" s="14"/>
      <c r="C37"/>
      <c r="D37"/>
      <c r="E37"/>
      <c r="F37" s="29"/>
      <c r="G37" s="376"/>
      <c r="H37"/>
      <c r="I37"/>
      <c r="J37"/>
      <c r="K37"/>
      <c r="L37"/>
      <c r="M37"/>
      <c r="N37"/>
      <c r="O37"/>
      <c r="P37"/>
      <c r="Q37"/>
      <c r="R37"/>
      <c r="S37"/>
    </row>
    <row r="38" spans="1:19" s="20" customFormat="1" ht="16.5" customHeight="1" outlineLevel="1" x14ac:dyDescent="0.3">
      <c r="A38"/>
      <c r="B38" s="14"/>
      <c r="C38"/>
      <c r="D38"/>
      <c r="E38"/>
      <c r="F38" s="29"/>
      <c r="G38" s="13"/>
      <c r="H38"/>
      <c r="I38"/>
      <c r="J38"/>
      <c r="K38"/>
      <c r="L38"/>
      <c r="M38"/>
      <c r="N38"/>
      <c r="O38"/>
      <c r="P38"/>
      <c r="Q38"/>
      <c r="R38"/>
      <c r="S38"/>
    </row>
    <row r="39" spans="1:19" s="20" customFormat="1" ht="16.5" customHeight="1" outlineLevel="1" x14ac:dyDescent="0.3">
      <c r="A39"/>
      <c r="B39" s="14"/>
      <c r="C39"/>
      <c r="D39"/>
      <c r="E39"/>
      <c r="F39" s="29"/>
      <c r="G39" s="13"/>
      <c r="H39"/>
      <c r="I39"/>
      <c r="J39"/>
      <c r="K39"/>
      <c r="L39"/>
      <c r="M39"/>
      <c r="N39"/>
      <c r="O39"/>
      <c r="P39"/>
      <c r="Q39"/>
      <c r="R39"/>
      <c r="S39"/>
    </row>
    <row r="40" spans="1:19" s="20" customFormat="1" ht="16.5" customHeight="1" outlineLevel="1" x14ac:dyDescent="0.3">
      <c r="A40"/>
      <c r="B40" s="14"/>
      <c r="C40"/>
      <c r="D40"/>
      <c r="E40"/>
      <c r="F40" s="29"/>
      <c r="G40" s="13"/>
      <c r="H40"/>
      <c r="I40"/>
      <c r="J40"/>
      <c r="K40"/>
      <c r="L40"/>
      <c r="M40"/>
      <c r="N40"/>
      <c r="O40"/>
      <c r="P40"/>
      <c r="Q40"/>
      <c r="R40"/>
      <c r="S40"/>
    </row>
    <row r="41" spans="1:19" s="20" customFormat="1" ht="16.5" customHeight="1" outlineLevel="1" x14ac:dyDescent="0.3">
      <c r="A41" s="25" t="s">
        <v>14</v>
      </c>
      <c r="B41" s="377"/>
      <c r="C41" s="377"/>
      <c r="D41" s="377"/>
      <c r="E41" s="377"/>
      <c r="F41" s="377"/>
      <c r="G41" s="378">
        <f>SUM(F17:F39)</f>
        <v>0</v>
      </c>
      <c r="H41" s="377"/>
      <c r="I41" s="377"/>
      <c r="J41" s="378"/>
      <c r="K41" s="377"/>
      <c r="L41" s="377"/>
      <c r="M41" s="377"/>
      <c r="N41" s="377"/>
      <c r="O41" s="26"/>
      <c r="P41" s="26"/>
      <c r="Q41" s="22"/>
      <c r="R41" s="26"/>
      <c r="S41" s="26"/>
    </row>
    <row r="42" spans="1:19" ht="14.4" x14ac:dyDescent="0.3">
      <c r="A42" s="25" t="s">
        <v>15</v>
      </c>
      <c r="B42" s="377"/>
      <c r="C42" s="377"/>
      <c r="D42" s="377"/>
      <c r="E42" s="377"/>
      <c r="F42" s="377"/>
      <c r="G42" s="378">
        <f>G41</f>
        <v>0</v>
      </c>
      <c r="H42" s="377"/>
      <c r="I42" s="377"/>
      <c r="J42" s="377"/>
      <c r="K42" s="377"/>
      <c r="L42" s="377"/>
      <c r="M42" s="377"/>
      <c r="N42" s="377"/>
      <c r="O42" s="26"/>
      <c r="P42" s="26"/>
      <c r="Q42" s="22"/>
      <c r="R42" s="26"/>
      <c r="S42" s="26"/>
    </row>
    <row r="43" spans="1:19" ht="13.8" x14ac:dyDescent="0.3">
      <c r="A43" s="7" t="s">
        <v>2</v>
      </c>
      <c r="F43" s="379"/>
      <c r="G43" s="379"/>
    </row>
    <row r="45" spans="1:19" ht="14.4" thickBot="1" x14ac:dyDescent="0.35">
      <c r="A45" s="5" t="s">
        <v>6</v>
      </c>
      <c r="F45" s="380"/>
      <c r="G45" s="379"/>
      <c r="O45" s="381">
        <f>O12+O14</f>
        <v>25944.200000000004</v>
      </c>
    </row>
    <row r="46" spans="1:19" ht="13.8" thickTop="1" x14ac:dyDescent="0.3"/>
    <row r="47" spans="1:19" x14ac:dyDescent="0.3">
      <c r="O47" s="23"/>
    </row>
    <row r="50" spans="20:23" ht="14.4" x14ac:dyDescent="0.3">
      <c r="T50"/>
      <c r="U50"/>
      <c r="V50"/>
      <c r="W50"/>
    </row>
    <row r="51" spans="20:23" ht="14.4" x14ac:dyDescent="0.3">
      <c r="T51"/>
      <c r="U51"/>
      <c r="V51"/>
      <c r="W51"/>
    </row>
    <row r="52" spans="20:23" ht="14.4" x14ac:dyDescent="0.3">
      <c r="T52"/>
      <c r="U52"/>
      <c r="V52"/>
      <c r="W52"/>
    </row>
    <row r="53" spans="20:23" ht="14.4" x14ac:dyDescent="0.3">
      <c r="T53"/>
      <c r="U53"/>
      <c r="V53"/>
      <c r="W53"/>
    </row>
    <row r="54" spans="20:23" ht="14.4" x14ac:dyDescent="0.3">
      <c r="T54"/>
      <c r="U54"/>
      <c r="V54"/>
      <c r="W54"/>
    </row>
    <row r="55" spans="20:23" ht="14.4" x14ac:dyDescent="0.3">
      <c r="T55"/>
      <c r="U55"/>
      <c r="V55"/>
      <c r="W55"/>
    </row>
    <row r="56" spans="20:23" ht="14.4" x14ac:dyDescent="0.3">
      <c r="T56"/>
      <c r="U56"/>
      <c r="V56"/>
      <c r="W56"/>
    </row>
    <row r="57" spans="20:23" ht="14.4" x14ac:dyDescent="0.3">
      <c r="T57"/>
      <c r="U57"/>
      <c r="V57"/>
      <c r="W57"/>
    </row>
    <row r="58" spans="20:23" ht="14.4" x14ac:dyDescent="0.3">
      <c r="T58"/>
      <c r="U58"/>
      <c r="V58"/>
      <c r="W58"/>
    </row>
    <row r="59" spans="20:23" ht="14.4" x14ac:dyDescent="0.3">
      <c r="T59"/>
      <c r="U59"/>
      <c r="V59"/>
      <c r="W59"/>
    </row>
    <row r="60" spans="20:23" ht="14.4" x14ac:dyDescent="0.3">
      <c r="T60"/>
      <c r="U60"/>
      <c r="V60"/>
      <c r="W60"/>
    </row>
  </sheetData>
  <customSheetViews>
    <customSheetView guid="{2123B791-50DF-4EA7-BAE2-957C996FE8CB}" scale="80" hiddenRows="1">
      <selection activeCell="F459" sqref="F459"/>
      <pageMargins left="0.7" right="0.7" top="0.75" bottom="0.75" header="0.3" footer="0.3"/>
    </customSheetView>
  </customSheetViews>
  <mergeCells count="3">
    <mergeCell ref="A16:O16"/>
    <mergeCell ref="P16:R16"/>
    <mergeCell ref="T16:U16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DAF0-A940-4EEB-A26F-526DC225474F}">
  <sheetPr>
    <tabColor rgb="FF92D050"/>
  </sheetPr>
  <dimension ref="A1:S17"/>
  <sheetViews>
    <sheetView workbookViewId="0">
      <selection activeCell="B29" sqref="B29"/>
    </sheetView>
  </sheetViews>
  <sheetFormatPr defaultRowHeight="14.4" x14ac:dyDescent="0.3"/>
  <cols>
    <col min="1" max="1" width="27.33203125" bestFit="1" customWidth="1"/>
    <col min="2" max="2" width="21.5546875" bestFit="1" customWidth="1"/>
    <col min="3" max="3" width="10.33203125" bestFit="1" customWidth="1"/>
    <col min="5" max="5" width="31.6640625" bestFit="1" customWidth="1"/>
    <col min="6" max="7" width="11.5546875" style="9" bestFit="1" customWidth="1"/>
    <col min="8" max="8" width="37" bestFit="1" customWidth="1"/>
    <col min="9" max="9" width="10.33203125" bestFit="1" customWidth="1"/>
    <col min="19" max="19" width="10.5546875" bestFit="1" customWidth="1"/>
  </cols>
  <sheetData>
    <row r="1" spans="1:19" x14ac:dyDescent="0.3">
      <c r="A1" s="330" t="s">
        <v>347</v>
      </c>
      <c r="B1" s="11"/>
    </row>
    <row r="4" spans="1:19" x14ac:dyDescent="0.3">
      <c r="B4" s="11"/>
      <c r="F4"/>
      <c r="G4"/>
      <c r="I4" s="9"/>
      <c r="J4" s="9"/>
    </row>
    <row r="5" spans="1:19" x14ac:dyDescent="0.3">
      <c r="B5" t="s">
        <v>296</v>
      </c>
      <c r="C5" s="9">
        <v>0</v>
      </c>
      <c r="D5" s="9" t="s">
        <v>346</v>
      </c>
      <c r="F5"/>
      <c r="G5"/>
      <c r="I5" s="9"/>
      <c r="J5" s="9"/>
    </row>
    <row r="6" spans="1:19" x14ac:dyDescent="0.3">
      <c r="B6" t="s">
        <v>267</v>
      </c>
      <c r="C6" s="285">
        <v>0</v>
      </c>
      <c r="D6" s="9"/>
      <c r="F6"/>
      <c r="G6"/>
    </row>
    <row r="7" spans="1:19" x14ac:dyDescent="0.3">
      <c r="B7" t="s">
        <v>119</v>
      </c>
      <c r="C7" s="286">
        <v>0</v>
      </c>
      <c r="D7" s="9"/>
      <c r="F7"/>
      <c r="G7"/>
    </row>
    <row r="8" spans="1:19" x14ac:dyDescent="0.3">
      <c r="B8" t="s">
        <v>297</v>
      </c>
      <c r="C8" s="9">
        <v>0</v>
      </c>
      <c r="D8" s="9"/>
      <c r="F8"/>
      <c r="G8"/>
      <c r="S8" s="9"/>
    </row>
    <row r="9" spans="1:19" x14ac:dyDescent="0.3">
      <c r="C9" s="9"/>
      <c r="D9" s="9"/>
      <c r="F9"/>
      <c r="G9"/>
    </row>
    <row r="10" spans="1:19" x14ac:dyDescent="0.3">
      <c r="C10" s="9"/>
      <c r="D10" s="9"/>
      <c r="F10"/>
      <c r="G10"/>
      <c r="S10" s="276"/>
    </row>
    <row r="11" spans="1:19" x14ac:dyDescent="0.3">
      <c r="B11" s="209" t="s">
        <v>120</v>
      </c>
      <c r="C11" s="196">
        <v>0</v>
      </c>
      <c r="D11" s="9"/>
      <c r="E11" s="11"/>
      <c r="F11"/>
      <c r="G11"/>
    </row>
    <row r="12" spans="1:19" x14ac:dyDescent="0.3">
      <c r="B12" t="s">
        <v>121</v>
      </c>
      <c r="C12" s="9">
        <v>0</v>
      </c>
      <c r="D12" s="9"/>
      <c r="F12"/>
      <c r="G12"/>
    </row>
    <row r="13" spans="1:19" x14ac:dyDescent="0.3">
      <c r="B13" t="s">
        <v>80</v>
      </c>
      <c r="C13" s="9">
        <v>0</v>
      </c>
      <c r="D13" s="9"/>
      <c r="F13"/>
      <c r="G13"/>
    </row>
    <row r="14" spans="1:19" x14ac:dyDescent="0.3">
      <c r="C14" s="9"/>
      <c r="D14" s="9"/>
      <c r="F14"/>
      <c r="G14"/>
    </row>
    <row r="15" spans="1:19" x14ac:dyDescent="0.3">
      <c r="C15" s="11"/>
      <c r="F15"/>
      <c r="G15"/>
      <c r="I15" s="9"/>
      <c r="J15" s="9"/>
    </row>
    <row r="16" spans="1:19" x14ac:dyDescent="0.3">
      <c r="F16"/>
      <c r="G16"/>
      <c r="I16" s="9"/>
      <c r="J16" s="9"/>
    </row>
    <row r="17" spans="6:10" x14ac:dyDescent="0.3">
      <c r="F17"/>
      <c r="G17"/>
      <c r="I17" s="9"/>
      <c r="J17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0971-6148-40FE-97F3-EE4E2681F214}">
  <sheetPr>
    <tabColor rgb="FF92D050"/>
  </sheetPr>
  <dimension ref="A1:AQ144"/>
  <sheetViews>
    <sheetView tabSelected="1" workbookViewId="0">
      <selection activeCell="F26" sqref="F26"/>
    </sheetView>
  </sheetViews>
  <sheetFormatPr defaultRowHeight="14.4" x14ac:dyDescent="0.3"/>
  <cols>
    <col min="1" max="1" width="10.5546875" bestFit="1" customWidth="1"/>
    <col min="2" max="2" width="25.44140625" customWidth="1"/>
    <col min="3" max="3" width="25.44140625" style="9" customWidth="1"/>
    <col min="4" max="4" width="25.44140625" style="416" customWidth="1"/>
    <col min="5" max="5" width="15.33203125" bestFit="1" customWidth="1"/>
    <col min="6" max="8" width="9.5546875" bestFit="1" customWidth="1"/>
    <col min="9" max="14" width="9.33203125" bestFit="1" customWidth="1"/>
    <col min="15" max="15" width="9.5546875" style="16" bestFit="1" customWidth="1"/>
    <col min="16" max="17" width="9.33203125" bestFit="1" customWidth="1"/>
    <col min="18" max="18" width="9.5546875" bestFit="1" customWidth="1"/>
    <col min="19" max="42" width="9.5546875" customWidth="1"/>
    <col min="43" max="43" width="11.33203125" bestFit="1" customWidth="1"/>
  </cols>
  <sheetData>
    <row r="1" spans="1:43" s="12" customFormat="1" x14ac:dyDescent="0.3">
      <c r="A1" s="12" t="s">
        <v>24</v>
      </c>
      <c r="B1" s="12" t="s">
        <v>134</v>
      </c>
      <c r="C1" s="279" t="s">
        <v>123</v>
      </c>
      <c r="D1" s="415" t="s">
        <v>13</v>
      </c>
      <c r="E1" s="12" t="s">
        <v>25</v>
      </c>
      <c r="F1" s="368">
        <v>45261</v>
      </c>
      <c r="G1" s="368">
        <v>45292</v>
      </c>
      <c r="H1" s="368">
        <v>45323</v>
      </c>
      <c r="I1" s="368">
        <v>45352</v>
      </c>
      <c r="J1" s="368">
        <v>45383</v>
      </c>
      <c r="K1" s="368">
        <v>45413</v>
      </c>
      <c r="L1" s="368">
        <v>45444</v>
      </c>
      <c r="M1" s="368">
        <v>45474</v>
      </c>
      <c r="N1" s="368">
        <v>45505</v>
      </c>
      <c r="O1" s="368">
        <v>45536</v>
      </c>
      <c r="P1" s="368">
        <v>45566</v>
      </c>
      <c r="Q1" s="368">
        <v>45597</v>
      </c>
      <c r="R1" s="368">
        <v>45627</v>
      </c>
      <c r="S1" s="368">
        <v>45658</v>
      </c>
      <c r="T1" s="368">
        <v>45689</v>
      </c>
      <c r="U1" s="368">
        <v>45717</v>
      </c>
      <c r="V1" s="368">
        <v>45748</v>
      </c>
      <c r="W1" s="368">
        <v>45778</v>
      </c>
      <c r="X1" s="368">
        <v>45809</v>
      </c>
      <c r="Y1" s="368">
        <v>45839</v>
      </c>
      <c r="Z1" s="368">
        <v>45870</v>
      </c>
      <c r="AA1" s="368">
        <v>45901</v>
      </c>
      <c r="AB1" s="368">
        <v>45931</v>
      </c>
      <c r="AC1" s="368">
        <v>45962</v>
      </c>
      <c r="AD1" s="368">
        <v>45992</v>
      </c>
      <c r="AE1" s="280">
        <v>46023</v>
      </c>
      <c r="AF1" s="280">
        <v>46054</v>
      </c>
      <c r="AG1" s="280">
        <v>46082</v>
      </c>
      <c r="AH1" s="280">
        <v>46113</v>
      </c>
      <c r="AI1" s="280">
        <v>46143</v>
      </c>
      <c r="AJ1" s="280">
        <v>46174</v>
      </c>
      <c r="AK1" s="280">
        <v>46204</v>
      </c>
      <c r="AL1" s="280">
        <v>46235</v>
      </c>
      <c r="AM1" s="280">
        <v>46266</v>
      </c>
      <c r="AN1" s="280">
        <v>46296</v>
      </c>
      <c r="AO1" s="280">
        <v>46327</v>
      </c>
      <c r="AP1" s="280">
        <v>46357</v>
      </c>
      <c r="AQ1" s="12" t="s">
        <v>135</v>
      </c>
    </row>
    <row r="2" spans="1:43" x14ac:dyDescent="0.3">
      <c r="A2" s="14">
        <v>45627</v>
      </c>
      <c r="B2" t="s">
        <v>136</v>
      </c>
      <c r="C2" s="9">
        <v>39809.21</v>
      </c>
      <c r="D2" s="416" t="s">
        <v>293</v>
      </c>
      <c r="E2" s="9">
        <f t="shared" ref="E2:E6" si="0">SUM(G2:AD2)</f>
        <v>39809.21</v>
      </c>
      <c r="F2" s="209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>
        <f>C2/12</f>
        <v>3317.4341666666664</v>
      </c>
      <c r="T2" s="208">
        <f>S2</f>
        <v>3317.4341666666664</v>
      </c>
      <c r="U2" s="208">
        <f t="shared" ref="U2:AD2" si="1">T2</f>
        <v>3317.4341666666664</v>
      </c>
      <c r="V2" s="208">
        <f t="shared" si="1"/>
        <v>3317.4341666666664</v>
      </c>
      <c r="W2" s="208">
        <f t="shared" si="1"/>
        <v>3317.4341666666664</v>
      </c>
      <c r="X2" s="208">
        <f t="shared" si="1"/>
        <v>3317.4341666666664</v>
      </c>
      <c r="Y2" s="208">
        <f t="shared" si="1"/>
        <v>3317.4341666666664</v>
      </c>
      <c r="Z2" s="208">
        <f t="shared" si="1"/>
        <v>3317.4341666666664</v>
      </c>
      <c r="AA2" s="208">
        <f t="shared" si="1"/>
        <v>3317.4341666666664</v>
      </c>
      <c r="AB2" s="208">
        <f t="shared" si="1"/>
        <v>3317.4341666666664</v>
      </c>
      <c r="AC2" s="208">
        <f t="shared" si="1"/>
        <v>3317.4341666666664</v>
      </c>
      <c r="AD2" s="208">
        <f t="shared" si="1"/>
        <v>3317.4341666666664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>
        <f>C2-SUM(F2:AD2)</f>
        <v>0</v>
      </c>
    </row>
    <row r="3" spans="1:43" x14ac:dyDescent="0.3">
      <c r="A3" s="14">
        <v>45864</v>
      </c>
      <c r="B3" t="s">
        <v>403</v>
      </c>
      <c r="C3" s="9">
        <v>1159.06</v>
      </c>
      <c r="D3" s="417">
        <v>45870</v>
      </c>
      <c r="E3" s="9">
        <f t="shared" si="0"/>
        <v>241.4708333333333</v>
      </c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8"/>
      <c r="W3" s="208"/>
      <c r="X3" s="208"/>
      <c r="Y3" s="209"/>
      <c r="Z3" s="196">
        <f>C3/24</f>
        <v>48.294166666666662</v>
      </c>
      <c r="AA3" s="208">
        <f t="shared" ref="AA3:AF3" si="2">Z3</f>
        <v>48.294166666666662</v>
      </c>
      <c r="AB3" s="208">
        <f t="shared" si="2"/>
        <v>48.294166666666662</v>
      </c>
      <c r="AC3" s="208">
        <f t="shared" si="2"/>
        <v>48.294166666666662</v>
      </c>
      <c r="AD3" s="208">
        <f t="shared" si="2"/>
        <v>48.294166666666662</v>
      </c>
      <c r="AE3" s="11">
        <f t="shared" si="2"/>
        <v>48.294166666666662</v>
      </c>
      <c r="AF3" s="11">
        <f t="shared" si="2"/>
        <v>48.294166666666662</v>
      </c>
      <c r="AG3" s="11">
        <f t="shared" ref="AG3" si="3">AF3</f>
        <v>48.294166666666662</v>
      </c>
      <c r="AH3" s="11">
        <f t="shared" ref="AH3" si="4">AG3</f>
        <v>48.294166666666662</v>
      </c>
      <c r="AI3" s="11">
        <f t="shared" ref="AI3" si="5">AH3</f>
        <v>48.294166666666662</v>
      </c>
      <c r="AJ3" s="11">
        <f t="shared" ref="AJ3" si="6">AI3</f>
        <v>48.294166666666662</v>
      </c>
      <c r="AK3" s="11">
        <f t="shared" ref="AK3" si="7">AJ3</f>
        <v>48.294166666666662</v>
      </c>
      <c r="AL3" s="11">
        <f t="shared" ref="AL3" si="8">AK3</f>
        <v>48.294166666666662</v>
      </c>
      <c r="AM3" s="11">
        <f t="shared" ref="AM3" si="9">AL3</f>
        <v>48.294166666666662</v>
      </c>
      <c r="AN3" s="11">
        <f t="shared" ref="AN3" si="10">AM3</f>
        <v>48.294166666666662</v>
      </c>
      <c r="AO3" s="11">
        <f t="shared" ref="AO3" si="11">AN3</f>
        <v>48.294166666666662</v>
      </c>
      <c r="AP3" s="11">
        <f t="shared" ref="AP3" si="12">AO3</f>
        <v>48.294166666666662</v>
      </c>
      <c r="AQ3" s="11">
        <f>C3-SUM(F3:AD3)</f>
        <v>917.58916666666664</v>
      </c>
    </row>
    <row r="4" spans="1:43" x14ac:dyDescent="0.3">
      <c r="A4" s="14">
        <v>45873</v>
      </c>
      <c r="B4" t="s">
        <v>331</v>
      </c>
      <c r="C4" s="9">
        <v>1402.46</v>
      </c>
      <c r="D4" s="417">
        <v>45901</v>
      </c>
      <c r="E4" s="9">
        <f t="shared" si="0"/>
        <v>1402.46</v>
      </c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8"/>
      <c r="W4" s="208"/>
      <c r="X4" s="208"/>
      <c r="Y4" s="209"/>
      <c r="Z4" s="196"/>
      <c r="AA4" s="208">
        <v>288.43</v>
      </c>
      <c r="AB4" s="208">
        <v>288.43</v>
      </c>
      <c r="AC4" s="208">
        <f>825.6-226</f>
        <v>599.6</v>
      </c>
      <c r="AD4" s="208">
        <v>226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>
        <f>C4-SUM(F4:AD4)</f>
        <v>0</v>
      </c>
    </row>
    <row r="5" spans="1:43" x14ac:dyDescent="0.3">
      <c r="A5" s="14">
        <v>45961</v>
      </c>
      <c r="B5" t="s">
        <v>443</v>
      </c>
      <c r="C5" s="9">
        <f>-'21350 - Insurance Payable'!M44</f>
        <v>-1942.5954677247828</v>
      </c>
      <c r="D5" s="417" t="s">
        <v>445</v>
      </c>
      <c r="E5" s="9">
        <f t="shared" si="0"/>
        <v>-1942.6</v>
      </c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8"/>
      <c r="W5" s="208"/>
      <c r="X5" s="208"/>
      <c r="Y5" s="209"/>
      <c r="Z5" s="196"/>
      <c r="AA5" s="208"/>
      <c r="AB5" s="208">
        <f>-1942.6/3</f>
        <v>-647.5333333333333</v>
      </c>
      <c r="AC5" s="208">
        <f>AB5</f>
        <v>-647.5333333333333</v>
      </c>
      <c r="AD5" s="208">
        <f>AC5</f>
        <v>-647.5333333333333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>
        <f>C5-SUM(F5:AD5)</f>
        <v>4.5322752171159664E-3</v>
      </c>
    </row>
    <row r="6" spans="1:43" x14ac:dyDescent="0.3">
      <c r="A6" s="14">
        <v>45991</v>
      </c>
      <c r="B6" t="s">
        <v>136</v>
      </c>
      <c r="C6" s="9">
        <v>38908.981255498358</v>
      </c>
      <c r="D6" s="416" t="s">
        <v>450</v>
      </c>
      <c r="E6" s="9">
        <f t="shared" si="0"/>
        <v>0</v>
      </c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8"/>
      <c r="W6" s="208"/>
      <c r="X6" s="208"/>
      <c r="Y6" s="209"/>
      <c r="Z6" s="196"/>
      <c r="AA6" s="208"/>
      <c r="AB6" s="208"/>
      <c r="AC6" s="208"/>
      <c r="AD6" s="208"/>
      <c r="AE6" s="11">
        <f>38908.98/12</f>
        <v>3242.4150000000004</v>
      </c>
      <c r="AF6" s="11">
        <f>AE6</f>
        <v>3242.4150000000004</v>
      </c>
      <c r="AG6" s="11">
        <f>AF6</f>
        <v>3242.4150000000004</v>
      </c>
      <c r="AH6" s="11">
        <f t="shared" ref="AH6:AP6" si="13">AG6</f>
        <v>3242.4150000000004</v>
      </c>
      <c r="AI6" s="11">
        <f t="shared" si="13"/>
        <v>3242.4150000000004</v>
      </c>
      <c r="AJ6" s="11">
        <f t="shared" si="13"/>
        <v>3242.4150000000004</v>
      </c>
      <c r="AK6" s="11">
        <f t="shared" si="13"/>
        <v>3242.4150000000004</v>
      </c>
      <c r="AL6" s="11">
        <f t="shared" si="13"/>
        <v>3242.4150000000004</v>
      </c>
      <c r="AM6" s="11">
        <f t="shared" si="13"/>
        <v>3242.4150000000004</v>
      </c>
      <c r="AN6" s="11">
        <f t="shared" si="13"/>
        <v>3242.4150000000004</v>
      </c>
      <c r="AO6" s="11">
        <f t="shared" si="13"/>
        <v>3242.4150000000004</v>
      </c>
      <c r="AP6" s="11">
        <f t="shared" si="13"/>
        <v>3242.4150000000004</v>
      </c>
      <c r="AQ6" s="11">
        <f>C6-SUM(F6:AD6)</f>
        <v>38908.981255498358</v>
      </c>
    </row>
    <row r="7" spans="1:43" ht="15" thickBot="1" x14ac:dyDescent="0.35">
      <c r="C7" s="248">
        <f>SUM(C2:C6)</f>
        <v>79337.115787773568</v>
      </c>
      <c r="E7" s="248">
        <f>SUM(E2:E6)</f>
        <v>39510.540833333333</v>
      </c>
      <c r="F7" s="282">
        <v>0</v>
      </c>
      <c r="G7" s="282">
        <f t="shared" ref="G7:AF7" si="14">SUM(G2:G6)</f>
        <v>0</v>
      </c>
      <c r="H7" s="282">
        <f t="shared" si="14"/>
        <v>0</v>
      </c>
      <c r="I7" s="282">
        <f t="shared" si="14"/>
        <v>0</v>
      </c>
      <c r="J7" s="282">
        <f t="shared" si="14"/>
        <v>0</v>
      </c>
      <c r="K7" s="282">
        <f t="shared" si="14"/>
        <v>0</v>
      </c>
      <c r="L7" s="282">
        <f t="shared" si="14"/>
        <v>0</v>
      </c>
      <c r="M7" s="282">
        <f t="shared" si="14"/>
        <v>0</v>
      </c>
      <c r="N7" s="282">
        <f t="shared" si="14"/>
        <v>0</v>
      </c>
      <c r="O7" s="282">
        <f t="shared" si="14"/>
        <v>0</v>
      </c>
      <c r="P7" s="283">
        <f t="shared" si="14"/>
        <v>0</v>
      </c>
      <c r="Q7" s="283">
        <f t="shared" si="14"/>
        <v>0</v>
      </c>
      <c r="R7" s="283">
        <f t="shared" si="14"/>
        <v>0</v>
      </c>
      <c r="S7" s="283">
        <f t="shared" si="14"/>
        <v>3317.4341666666664</v>
      </c>
      <c r="T7" s="283">
        <f t="shared" si="14"/>
        <v>3317.4341666666664</v>
      </c>
      <c r="U7" s="283">
        <f t="shared" si="14"/>
        <v>3317.4341666666664</v>
      </c>
      <c r="V7" s="283">
        <f t="shared" si="14"/>
        <v>3317.4341666666664</v>
      </c>
      <c r="W7" s="283">
        <f t="shared" si="14"/>
        <v>3317.4341666666664</v>
      </c>
      <c r="X7" s="283">
        <f t="shared" si="14"/>
        <v>3317.4341666666664</v>
      </c>
      <c r="Y7" s="283">
        <f t="shared" si="14"/>
        <v>3317.4341666666664</v>
      </c>
      <c r="Z7" s="283">
        <f t="shared" si="14"/>
        <v>3365.728333333333</v>
      </c>
      <c r="AA7" s="283">
        <f t="shared" si="14"/>
        <v>3654.1583333333328</v>
      </c>
      <c r="AB7" s="283">
        <f t="shared" si="14"/>
        <v>3006.6249999999995</v>
      </c>
      <c r="AC7" s="283">
        <f t="shared" si="14"/>
        <v>3317.7949999999996</v>
      </c>
      <c r="AD7" s="283">
        <f t="shared" si="14"/>
        <v>2944.1949999999997</v>
      </c>
      <c r="AE7" s="283">
        <f t="shared" si="14"/>
        <v>3290.709166666667</v>
      </c>
      <c r="AF7" s="283">
        <f t="shared" si="14"/>
        <v>3290.709166666667</v>
      </c>
      <c r="AG7" s="283">
        <f t="shared" ref="AG7" si="15">SUM(AG2:AG6)</f>
        <v>3290.709166666667</v>
      </c>
      <c r="AH7" s="283">
        <f t="shared" ref="AH7" si="16">SUM(AH2:AH6)</f>
        <v>3290.709166666667</v>
      </c>
      <c r="AI7" s="283">
        <f t="shared" ref="AI7" si="17">SUM(AI2:AI6)</f>
        <v>3290.709166666667</v>
      </c>
      <c r="AJ7" s="283">
        <f t="shared" ref="AJ7" si="18">SUM(AJ2:AJ6)</f>
        <v>3290.709166666667</v>
      </c>
      <c r="AK7" s="283">
        <f t="shared" ref="AK7" si="19">SUM(AK2:AK6)</f>
        <v>3290.709166666667</v>
      </c>
      <c r="AL7" s="283">
        <f t="shared" ref="AL7" si="20">SUM(AL2:AL6)</f>
        <v>3290.709166666667</v>
      </c>
      <c r="AM7" s="283">
        <f t="shared" ref="AM7" si="21">SUM(AM2:AM6)</f>
        <v>3290.709166666667</v>
      </c>
      <c r="AN7" s="283">
        <f t="shared" ref="AN7" si="22">SUM(AN2:AN6)</f>
        <v>3290.709166666667</v>
      </c>
      <c r="AO7" s="283">
        <f t="shared" ref="AO7" si="23">SUM(AO2:AO6)</f>
        <v>3290.709166666667</v>
      </c>
      <c r="AP7" s="283">
        <f t="shared" ref="AP7" si="24">SUM(AP2:AP6)</f>
        <v>3290.709166666667</v>
      </c>
      <c r="AQ7" s="11">
        <f>SUM(AQ2:AQ6)</f>
        <v>39826.574954440242</v>
      </c>
    </row>
    <row r="8" spans="1:43" ht="15" thickTop="1" x14ac:dyDescent="0.3">
      <c r="E8" s="9"/>
      <c r="O8"/>
    </row>
    <row r="9" spans="1:43" x14ac:dyDescent="0.3">
      <c r="E9" s="9"/>
      <c r="O9"/>
      <c r="X9" t="s">
        <v>455</v>
      </c>
    </row>
    <row r="10" spans="1:43" x14ac:dyDescent="0.3">
      <c r="E10" s="9"/>
      <c r="O10"/>
    </row>
    <row r="11" spans="1:43" x14ac:dyDescent="0.3">
      <c r="E11" s="9"/>
      <c r="O11"/>
    </row>
    <row r="12" spans="1:43" x14ac:dyDescent="0.3">
      <c r="D12" s="416" t="s">
        <v>139</v>
      </c>
      <c r="E12" s="281">
        <f>C7-E7</f>
        <v>39826.574954440235</v>
      </c>
      <c r="O12"/>
    </row>
    <row r="13" spans="1:43" x14ac:dyDescent="0.3">
      <c r="D13" s="416" t="s">
        <v>140</v>
      </c>
      <c r="E13" s="9">
        <v>39826.57</v>
      </c>
      <c r="O13"/>
    </row>
    <row r="14" spans="1:43" ht="15" thickBot="1" x14ac:dyDescent="0.35">
      <c r="D14" s="416" t="s">
        <v>80</v>
      </c>
      <c r="E14" s="369">
        <f>E12-E13</f>
        <v>4.9544402354513295E-3</v>
      </c>
      <c r="O14"/>
    </row>
    <row r="15" spans="1:43" ht="15" thickTop="1" x14ac:dyDescent="0.3">
      <c r="E15" s="9"/>
      <c r="O15"/>
    </row>
    <row r="16" spans="1:43" x14ac:dyDescent="0.3">
      <c r="E16" s="9"/>
      <c r="O16"/>
    </row>
    <row r="17" spans="5:24" x14ac:dyDescent="0.3">
      <c r="E17" s="9"/>
      <c r="O17"/>
    </row>
    <row r="18" spans="5:24" x14ac:dyDescent="0.3">
      <c r="E18" s="9"/>
      <c r="O18"/>
    </row>
    <row r="19" spans="5:24" x14ac:dyDescent="0.3">
      <c r="E19" s="9"/>
      <c r="O19"/>
    </row>
    <row r="20" spans="5:24" x14ac:dyDescent="0.3">
      <c r="E20" s="9"/>
      <c r="O20"/>
    </row>
    <row r="21" spans="5:24" x14ac:dyDescent="0.3">
      <c r="E21" s="9"/>
      <c r="O21"/>
    </row>
    <row r="22" spans="5:24" x14ac:dyDescent="0.3">
      <c r="E22" s="9"/>
      <c r="O22"/>
    </row>
    <row r="23" spans="5:24" x14ac:dyDescent="0.3">
      <c r="E23" s="9"/>
      <c r="O23"/>
    </row>
    <row r="24" spans="5:24" x14ac:dyDescent="0.3">
      <c r="E24" s="9"/>
      <c r="O24"/>
    </row>
    <row r="25" spans="5:24" x14ac:dyDescent="0.3">
      <c r="E25" s="9"/>
      <c r="O25"/>
    </row>
    <row r="26" spans="5:24" x14ac:dyDescent="0.3">
      <c r="E26" s="9"/>
      <c r="O26"/>
    </row>
    <row r="27" spans="5:24" x14ac:dyDescent="0.3">
      <c r="E27" s="9"/>
      <c r="O27"/>
    </row>
    <row r="28" spans="5:24" x14ac:dyDescent="0.3">
      <c r="O28"/>
    </row>
    <row r="29" spans="5:24" x14ac:dyDescent="0.3">
      <c r="O29"/>
    </row>
    <row r="30" spans="5:24" x14ac:dyDescent="0.3">
      <c r="O30"/>
      <c r="X30" t="s">
        <v>456</v>
      </c>
    </row>
    <row r="31" spans="5:24" x14ac:dyDescent="0.3">
      <c r="O31"/>
    </row>
    <row r="32" spans="5:24" x14ac:dyDescent="0.3">
      <c r="O32"/>
    </row>
    <row r="33" spans="15:15" x14ac:dyDescent="0.3">
      <c r="O33"/>
    </row>
    <row r="34" spans="15:15" x14ac:dyDescent="0.3">
      <c r="O34"/>
    </row>
    <row r="35" spans="15:15" x14ac:dyDescent="0.3">
      <c r="O35"/>
    </row>
    <row r="36" spans="15:15" x14ac:dyDescent="0.3">
      <c r="O36"/>
    </row>
    <row r="37" spans="15:15" x14ac:dyDescent="0.3">
      <c r="O37"/>
    </row>
    <row r="38" spans="15:15" x14ac:dyDescent="0.3">
      <c r="O38"/>
    </row>
    <row r="39" spans="15:15" x14ac:dyDescent="0.3">
      <c r="O39"/>
    </row>
    <row r="40" spans="15:15" x14ac:dyDescent="0.3">
      <c r="O40"/>
    </row>
    <row r="41" spans="15:15" x14ac:dyDescent="0.3">
      <c r="O41"/>
    </row>
    <row r="42" spans="15:15" x14ac:dyDescent="0.3">
      <c r="O42"/>
    </row>
    <row r="43" spans="15:15" x14ac:dyDescent="0.3">
      <c r="O43"/>
    </row>
    <row r="44" spans="15:15" x14ac:dyDescent="0.3">
      <c r="O44"/>
    </row>
    <row r="45" spans="15:15" x14ac:dyDescent="0.3">
      <c r="O45"/>
    </row>
    <row r="46" spans="15:15" x14ac:dyDescent="0.3">
      <c r="O46"/>
    </row>
    <row r="47" spans="15:15" x14ac:dyDescent="0.3">
      <c r="O47"/>
    </row>
    <row r="48" spans="15:15" x14ac:dyDescent="0.3">
      <c r="O48"/>
    </row>
    <row r="49" spans="15:15" x14ac:dyDescent="0.3">
      <c r="O49"/>
    </row>
    <row r="50" spans="15:15" x14ac:dyDescent="0.3">
      <c r="O50"/>
    </row>
    <row r="51" spans="15:15" x14ac:dyDescent="0.3">
      <c r="O51"/>
    </row>
    <row r="52" spans="15:15" x14ac:dyDescent="0.3">
      <c r="O52"/>
    </row>
    <row r="53" spans="15:15" x14ac:dyDescent="0.3">
      <c r="O53"/>
    </row>
    <row r="54" spans="15:15" x14ac:dyDescent="0.3">
      <c r="O54"/>
    </row>
    <row r="55" spans="15:15" x14ac:dyDescent="0.3">
      <c r="O55"/>
    </row>
    <row r="56" spans="15:15" x14ac:dyDescent="0.3">
      <c r="O56"/>
    </row>
    <row r="57" spans="15:15" x14ac:dyDescent="0.3">
      <c r="O57"/>
    </row>
    <row r="58" spans="15:15" x14ac:dyDescent="0.3">
      <c r="O58"/>
    </row>
    <row r="59" spans="15:15" x14ac:dyDescent="0.3">
      <c r="O59"/>
    </row>
    <row r="60" spans="15:15" x14ac:dyDescent="0.3">
      <c r="O60"/>
    </row>
    <row r="61" spans="15:15" x14ac:dyDescent="0.3">
      <c r="O61"/>
    </row>
    <row r="62" spans="15:15" x14ac:dyDescent="0.3">
      <c r="O62"/>
    </row>
    <row r="63" spans="15:15" x14ac:dyDescent="0.3">
      <c r="O63"/>
    </row>
    <row r="64" spans="15:15" x14ac:dyDescent="0.3">
      <c r="O64"/>
    </row>
    <row r="65" spans="15:15" x14ac:dyDescent="0.3">
      <c r="O65"/>
    </row>
    <row r="66" spans="15:15" x14ac:dyDescent="0.3">
      <c r="O66"/>
    </row>
    <row r="67" spans="15:15" x14ac:dyDescent="0.3">
      <c r="O67"/>
    </row>
    <row r="68" spans="15:15" x14ac:dyDescent="0.3">
      <c r="O68"/>
    </row>
    <row r="69" spans="15:15" x14ac:dyDescent="0.3">
      <c r="O69"/>
    </row>
    <row r="70" spans="15:15" x14ac:dyDescent="0.3">
      <c r="O70"/>
    </row>
    <row r="71" spans="15:15" x14ac:dyDescent="0.3">
      <c r="O71"/>
    </row>
    <row r="72" spans="15:15" x14ac:dyDescent="0.3">
      <c r="O72"/>
    </row>
    <row r="73" spans="15:15" x14ac:dyDescent="0.3">
      <c r="O73"/>
    </row>
    <row r="74" spans="15:15" x14ac:dyDescent="0.3">
      <c r="O74"/>
    </row>
    <row r="75" spans="15:15" x14ac:dyDescent="0.3">
      <c r="O75"/>
    </row>
    <row r="76" spans="15:15" x14ac:dyDescent="0.3">
      <c r="O76"/>
    </row>
    <row r="77" spans="15:15" x14ac:dyDescent="0.3">
      <c r="O77"/>
    </row>
    <row r="78" spans="15:15" x14ac:dyDescent="0.3">
      <c r="O78"/>
    </row>
    <row r="79" spans="15:15" x14ac:dyDescent="0.3">
      <c r="O79"/>
    </row>
    <row r="80" spans="15:15" x14ac:dyDescent="0.3">
      <c r="O80"/>
    </row>
    <row r="81" spans="15:15" x14ac:dyDescent="0.3">
      <c r="O81"/>
    </row>
    <row r="82" spans="15:15" x14ac:dyDescent="0.3">
      <c r="O82"/>
    </row>
    <row r="83" spans="15:15" x14ac:dyDescent="0.3">
      <c r="O83"/>
    </row>
    <row r="84" spans="15:15" x14ac:dyDescent="0.3">
      <c r="O84"/>
    </row>
    <row r="85" spans="15:15" x14ac:dyDescent="0.3">
      <c r="O85"/>
    </row>
    <row r="86" spans="15:15" x14ac:dyDescent="0.3">
      <c r="O86"/>
    </row>
    <row r="87" spans="15:15" x14ac:dyDescent="0.3">
      <c r="O87"/>
    </row>
    <row r="88" spans="15:15" x14ac:dyDescent="0.3">
      <c r="O88"/>
    </row>
    <row r="89" spans="15:15" x14ac:dyDescent="0.3">
      <c r="O89"/>
    </row>
    <row r="90" spans="15:15" x14ac:dyDescent="0.3">
      <c r="O90"/>
    </row>
    <row r="91" spans="15:15" x14ac:dyDescent="0.3">
      <c r="O91"/>
    </row>
    <row r="92" spans="15:15" x14ac:dyDescent="0.3">
      <c r="O92"/>
    </row>
    <row r="93" spans="15:15" x14ac:dyDescent="0.3">
      <c r="O93"/>
    </row>
    <row r="94" spans="15:15" x14ac:dyDescent="0.3">
      <c r="O94"/>
    </row>
    <row r="95" spans="15:15" x14ac:dyDescent="0.3">
      <c r="O95"/>
    </row>
    <row r="96" spans="15:15" x14ac:dyDescent="0.3">
      <c r="O96"/>
    </row>
    <row r="97" spans="15:15" x14ac:dyDescent="0.3">
      <c r="O97"/>
    </row>
    <row r="98" spans="15:15" x14ac:dyDescent="0.3">
      <c r="O98"/>
    </row>
    <row r="99" spans="15:15" x14ac:dyDescent="0.3">
      <c r="O99"/>
    </row>
    <row r="100" spans="15:15" x14ac:dyDescent="0.3">
      <c r="O100"/>
    </row>
    <row r="101" spans="15:15" x14ac:dyDescent="0.3">
      <c r="O101"/>
    </row>
    <row r="102" spans="15:15" x14ac:dyDescent="0.3">
      <c r="O102"/>
    </row>
    <row r="103" spans="15:15" x14ac:dyDescent="0.3">
      <c r="O103"/>
    </row>
    <row r="104" spans="15:15" x14ac:dyDescent="0.3">
      <c r="O104"/>
    </row>
    <row r="105" spans="15:15" x14ac:dyDescent="0.3">
      <c r="O105"/>
    </row>
    <row r="106" spans="15:15" x14ac:dyDescent="0.3">
      <c r="O106"/>
    </row>
    <row r="107" spans="15:15" x14ac:dyDescent="0.3">
      <c r="O107"/>
    </row>
    <row r="108" spans="15:15" x14ac:dyDescent="0.3">
      <c r="O108"/>
    </row>
    <row r="109" spans="15:15" x14ac:dyDescent="0.3">
      <c r="O109"/>
    </row>
    <row r="110" spans="15:15" x14ac:dyDescent="0.3">
      <c r="O110"/>
    </row>
    <row r="111" spans="15:15" x14ac:dyDescent="0.3">
      <c r="O111"/>
    </row>
    <row r="112" spans="15:15" x14ac:dyDescent="0.3">
      <c r="O112"/>
    </row>
    <row r="113" spans="15:15" x14ac:dyDescent="0.3">
      <c r="O113"/>
    </row>
    <row r="114" spans="15:15" x14ac:dyDescent="0.3">
      <c r="O114"/>
    </row>
    <row r="115" spans="15:15" x14ac:dyDescent="0.3">
      <c r="O115"/>
    </row>
    <row r="116" spans="15:15" x14ac:dyDescent="0.3">
      <c r="O116"/>
    </row>
    <row r="117" spans="15:15" x14ac:dyDescent="0.3">
      <c r="O117"/>
    </row>
    <row r="118" spans="15:15" x14ac:dyDescent="0.3">
      <c r="O118"/>
    </row>
    <row r="119" spans="15:15" x14ac:dyDescent="0.3">
      <c r="O119"/>
    </row>
    <row r="120" spans="15:15" x14ac:dyDescent="0.3">
      <c r="O120"/>
    </row>
    <row r="121" spans="15:15" x14ac:dyDescent="0.3">
      <c r="O121"/>
    </row>
    <row r="122" spans="15:15" x14ac:dyDescent="0.3">
      <c r="O122"/>
    </row>
    <row r="123" spans="15:15" x14ac:dyDescent="0.3">
      <c r="O123"/>
    </row>
    <row r="124" spans="15:15" x14ac:dyDescent="0.3">
      <c r="O124"/>
    </row>
    <row r="125" spans="15:15" x14ac:dyDescent="0.3">
      <c r="O125"/>
    </row>
    <row r="126" spans="15:15" x14ac:dyDescent="0.3">
      <c r="O126"/>
    </row>
    <row r="127" spans="15:15" x14ac:dyDescent="0.3">
      <c r="O127"/>
    </row>
    <row r="128" spans="15:15" x14ac:dyDescent="0.3">
      <c r="O128"/>
    </row>
    <row r="129" spans="15:15" x14ac:dyDescent="0.3">
      <c r="O129"/>
    </row>
    <row r="130" spans="15:15" x14ac:dyDescent="0.3">
      <c r="O130"/>
    </row>
    <row r="131" spans="15:15" x14ac:dyDescent="0.3">
      <c r="O131"/>
    </row>
    <row r="132" spans="15:15" x14ac:dyDescent="0.3">
      <c r="O132"/>
    </row>
    <row r="133" spans="15:15" x14ac:dyDescent="0.3">
      <c r="O133"/>
    </row>
    <row r="134" spans="15:15" x14ac:dyDescent="0.3">
      <c r="O134"/>
    </row>
    <row r="135" spans="15:15" x14ac:dyDescent="0.3">
      <c r="O135"/>
    </row>
    <row r="136" spans="15:15" x14ac:dyDescent="0.3">
      <c r="O136"/>
    </row>
    <row r="137" spans="15:15" x14ac:dyDescent="0.3">
      <c r="O137"/>
    </row>
    <row r="138" spans="15:15" x14ac:dyDescent="0.3">
      <c r="O138"/>
    </row>
    <row r="139" spans="15:15" x14ac:dyDescent="0.3">
      <c r="O139"/>
    </row>
    <row r="140" spans="15:15" x14ac:dyDescent="0.3">
      <c r="O140"/>
    </row>
    <row r="141" spans="15:15" x14ac:dyDescent="0.3">
      <c r="O141"/>
    </row>
    <row r="142" spans="15:15" x14ac:dyDescent="0.3">
      <c r="O142"/>
    </row>
    <row r="143" spans="15:15" x14ac:dyDescent="0.3">
      <c r="O143"/>
    </row>
    <row r="144" spans="15:15" x14ac:dyDescent="0.3">
      <c r="O144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37DF-5CF5-45EC-A423-C2C4AB00291A}">
  <sheetPr>
    <tabColor rgb="FF92D050"/>
  </sheetPr>
  <dimension ref="A1:AG151"/>
  <sheetViews>
    <sheetView workbookViewId="0">
      <selection activeCell="D28" sqref="D28"/>
    </sheetView>
  </sheetViews>
  <sheetFormatPr defaultRowHeight="14.4" x14ac:dyDescent="0.3"/>
  <cols>
    <col min="1" max="1" width="10.5546875" bestFit="1" customWidth="1"/>
    <col min="2" max="2" width="25.44140625" customWidth="1"/>
    <col min="3" max="3" width="25.44140625" style="9" customWidth="1"/>
    <col min="4" max="4" width="25.44140625" customWidth="1"/>
    <col min="5" max="5" width="15.33203125" bestFit="1" customWidth="1"/>
    <col min="6" max="8" width="9.5546875" bestFit="1" customWidth="1"/>
    <col min="9" max="14" width="9.33203125" bestFit="1" customWidth="1"/>
    <col min="15" max="15" width="9.5546875" style="16" bestFit="1" customWidth="1"/>
    <col min="16" max="17" width="9.33203125" bestFit="1" customWidth="1"/>
    <col min="18" max="18" width="9.5546875" bestFit="1" customWidth="1"/>
    <col min="19" max="32" width="9.5546875" customWidth="1"/>
    <col min="33" max="33" width="11.33203125" bestFit="1" customWidth="1"/>
  </cols>
  <sheetData>
    <row r="1" spans="1:33" s="12" customFormat="1" x14ac:dyDescent="0.3">
      <c r="A1" s="12" t="s">
        <v>24</v>
      </c>
      <c r="B1" s="12" t="s">
        <v>134</v>
      </c>
      <c r="C1" s="279" t="s">
        <v>123</v>
      </c>
      <c r="D1" s="12" t="s">
        <v>13</v>
      </c>
      <c r="E1" s="12" t="s">
        <v>25</v>
      </c>
      <c r="F1" s="368">
        <v>45261</v>
      </c>
      <c r="G1" s="368">
        <v>45292</v>
      </c>
      <c r="H1" s="368">
        <v>45323</v>
      </c>
      <c r="I1" s="368">
        <v>45352</v>
      </c>
      <c r="J1" s="368">
        <v>45383</v>
      </c>
      <c r="K1" s="368">
        <v>45413</v>
      </c>
      <c r="L1" s="368">
        <v>45444</v>
      </c>
      <c r="M1" s="368">
        <v>45474</v>
      </c>
      <c r="N1" s="368">
        <v>45505</v>
      </c>
      <c r="O1" s="368">
        <v>45536</v>
      </c>
      <c r="P1" s="368">
        <v>45566</v>
      </c>
      <c r="Q1" s="368">
        <v>45597</v>
      </c>
      <c r="R1" s="368">
        <v>45627</v>
      </c>
      <c r="S1" s="368">
        <v>45658</v>
      </c>
      <c r="T1" s="368">
        <v>45689</v>
      </c>
      <c r="U1" s="368">
        <v>45717</v>
      </c>
      <c r="V1" s="368">
        <v>45748</v>
      </c>
      <c r="W1" s="368">
        <v>45778</v>
      </c>
      <c r="X1" s="368">
        <v>45809</v>
      </c>
      <c r="Y1" s="368">
        <v>45839</v>
      </c>
      <c r="Z1" s="368">
        <v>45870</v>
      </c>
      <c r="AA1" s="368">
        <v>45901</v>
      </c>
      <c r="AB1" s="368">
        <v>45931</v>
      </c>
      <c r="AC1" s="368">
        <v>45962</v>
      </c>
      <c r="AD1" s="368">
        <v>45992</v>
      </c>
      <c r="AE1" s="280">
        <v>46023</v>
      </c>
      <c r="AF1" s="280">
        <v>44958</v>
      </c>
      <c r="AG1" s="12" t="s">
        <v>135</v>
      </c>
    </row>
    <row r="2" spans="1:33" x14ac:dyDescent="0.3">
      <c r="A2" s="14">
        <v>45277</v>
      </c>
      <c r="B2" t="s">
        <v>136</v>
      </c>
      <c r="C2" s="9">
        <v>51710</v>
      </c>
      <c r="D2" t="s">
        <v>137</v>
      </c>
      <c r="E2" s="9">
        <f>SUM(G2:AD2)</f>
        <v>51709.999999999985</v>
      </c>
      <c r="F2" s="209"/>
      <c r="G2" s="208">
        <v>4309.17</v>
      </c>
      <c r="H2" s="208">
        <f>G2</f>
        <v>4309.17</v>
      </c>
      <c r="I2" s="208">
        <f t="shared" ref="I2:Q2" si="0">H2</f>
        <v>4309.17</v>
      </c>
      <c r="J2" s="208">
        <f t="shared" si="0"/>
        <v>4309.17</v>
      </c>
      <c r="K2" s="208">
        <f t="shared" si="0"/>
        <v>4309.17</v>
      </c>
      <c r="L2" s="208">
        <f t="shared" si="0"/>
        <v>4309.17</v>
      </c>
      <c r="M2" s="208">
        <f t="shared" si="0"/>
        <v>4309.17</v>
      </c>
      <c r="N2" s="208">
        <f t="shared" si="0"/>
        <v>4309.17</v>
      </c>
      <c r="O2" s="208">
        <f t="shared" si="0"/>
        <v>4309.17</v>
      </c>
      <c r="P2" s="208">
        <f t="shared" si="0"/>
        <v>4309.17</v>
      </c>
      <c r="Q2" s="208">
        <f t="shared" si="0"/>
        <v>4309.17</v>
      </c>
      <c r="R2" s="208">
        <f>Q2-0.04</f>
        <v>4309.13</v>
      </c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11"/>
      <c r="AF2" s="11"/>
      <c r="AG2" s="11">
        <f t="shared" ref="AG2:AG7" si="1">C2-SUM(F2:AF2)</f>
        <v>0</v>
      </c>
    </row>
    <row r="3" spans="1:33" x14ac:dyDescent="0.3">
      <c r="A3" s="14">
        <v>45488</v>
      </c>
      <c r="B3" t="s">
        <v>136</v>
      </c>
      <c r="C3" s="9">
        <v>-993.2</v>
      </c>
      <c r="D3" t="s">
        <v>138</v>
      </c>
      <c r="E3" s="9">
        <f t="shared" ref="E3:E13" si="2">SUM(G3:AD3)</f>
        <v>-993.19999999999993</v>
      </c>
      <c r="F3" s="209"/>
      <c r="G3" s="208"/>
      <c r="H3" s="208"/>
      <c r="I3" s="208"/>
      <c r="J3" s="208"/>
      <c r="K3" s="208"/>
      <c r="L3" s="208"/>
      <c r="M3" s="208">
        <v>-165.53333333333333</v>
      </c>
      <c r="N3" s="208">
        <v>-165.53333333333333</v>
      </c>
      <c r="O3" s="208">
        <v>-165.53333333333333</v>
      </c>
      <c r="P3" s="208">
        <v>-165.53333333333333</v>
      </c>
      <c r="Q3" s="208">
        <v>-165.53333333333333</v>
      </c>
      <c r="R3" s="208">
        <v>-165.53333333333333</v>
      </c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11"/>
      <c r="AF3" s="11"/>
      <c r="AG3" s="11">
        <f t="shared" si="1"/>
        <v>0</v>
      </c>
    </row>
    <row r="4" spans="1:33" x14ac:dyDescent="0.3">
      <c r="A4" s="14">
        <v>45627</v>
      </c>
      <c r="B4" t="s">
        <v>136</v>
      </c>
      <c r="C4" s="9">
        <v>39809.21</v>
      </c>
      <c r="D4" t="s">
        <v>293</v>
      </c>
      <c r="E4" s="9">
        <f t="shared" si="2"/>
        <v>39809.21</v>
      </c>
      <c r="F4" s="209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>
        <f>C4/12</f>
        <v>3317.4341666666664</v>
      </c>
      <c r="T4" s="208">
        <f>S4</f>
        <v>3317.4341666666664</v>
      </c>
      <c r="U4" s="208">
        <f t="shared" ref="U4:AA4" si="3">T4</f>
        <v>3317.4341666666664</v>
      </c>
      <c r="V4" s="208">
        <f t="shared" si="3"/>
        <v>3317.4341666666664</v>
      </c>
      <c r="W4" s="208">
        <f t="shared" si="3"/>
        <v>3317.4341666666664</v>
      </c>
      <c r="X4" s="208">
        <f t="shared" si="3"/>
        <v>3317.4341666666664</v>
      </c>
      <c r="Y4" s="208">
        <f t="shared" si="3"/>
        <v>3317.4341666666664</v>
      </c>
      <c r="Z4" s="208">
        <f t="shared" si="3"/>
        <v>3317.4341666666664</v>
      </c>
      <c r="AA4" s="208">
        <f t="shared" si="3"/>
        <v>3317.4341666666664</v>
      </c>
      <c r="AB4" s="208">
        <f t="shared" ref="AB4" si="4">AA4</f>
        <v>3317.4341666666664</v>
      </c>
      <c r="AC4" s="208">
        <f t="shared" ref="AC4" si="5">AB4</f>
        <v>3317.4341666666664</v>
      </c>
      <c r="AD4" s="208">
        <f t="shared" ref="AD4" si="6">AC4</f>
        <v>3317.4341666666664</v>
      </c>
      <c r="AE4" s="11"/>
      <c r="AF4" s="11"/>
      <c r="AG4" s="11">
        <f t="shared" si="1"/>
        <v>0</v>
      </c>
    </row>
    <row r="5" spans="1:33" x14ac:dyDescent="0.3">
      <c r="A5" s="14">
        <v>45656</v>
      </c>
      <c r="B5" t="s">
        <v>331</v>
      </c>
      <c r="C5" s="9">
        <v>501.75</v>
      </c>
      <c r="D5" s="14">
        <v>45658</v>
      </c>
      <c r="E5" s="9">
        <f t="shared" si="2"/>
        <v>501.75</v>
      </c>
      <c r="F5" s="209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>
        <f>C5</f>
        <v>501.75</v>
      </c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11"/>
      <c r="AF5" s="11"/>
      <c r="AG5" s="11">
        <f t="shared" si="1"/>
        <v>0</v>
      </c>
    </row>
    <row r="6" spans="1:33" x14ac:dyDescent="0.3">
      <c r="A6" s="14">
        <v>45747</v>
      </c>
      <c r="B6" t="s">
        <v>353</v>
      </c>
      <c r="C6" s="9">
        <v>2287.69</v>
      </c>
      <c r="D6" s="14">
        <v>45748</v>
      </c>
      <c r="E6" s="9">
        <f t="shared" si="2"/>
        <v>2287.69</v>
      </c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8">
        <f>C6</f>
        <v>2287.69</v>
      </c>
      <c r="W6" s="209"/>
      <c r="X6" s="209"/>
      <c r="Y6" s="209"/>
      <c r="Z6" s="209"/>
      <c r="AA6" s="209"/>
      <c r="AB6" s="209"/>
      <c r="AC6" s="209"/>
      <c r="AD6" s="209"/>
      <c r="AG6" s="11">
        <f t="shared" si="1"/>
        <v>0</v>
      </c>
    </row>
    <row r="7" spans="1:33" x14ac:dyDescent="0.3">
      <c r="A7" s="14">
        <v>45775</v>
      </c>
      <c r="B7" t="s">
        <v>369</v>
      </c>
      <c r="C7" s="9">
        <v>5870.57</v>
      </c>
      <c r="D7" s="14">
        <v>45778</v>
      </c>
      <c r="E7" s="9">
        <f t="shared" si="2"/>
        <v>5870.57</v>
      </c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8"/>
      <c r="W7" s="208">
        <f>C7</f>
        <v>5870.57</v>
      </c>
      <c r="X7" s="208"/>
      <c r="Y7" s="209"/>
      <c r="Z7" s="209"/>
      <c r="AA7" s="209"/>
      <c r="AB7" s="209"/>
      <c r="AC7" s="209"/>
      <c r="AD7" s="209"/>
      <c r="AG7" s="11">
        <f t="shared" si="1"/>
        <v>0</v>
      </c>
    </row>
    <row r="8" spans="1:33" x14ac:dyDescent="0.3">
      <c r="A8" s="14">
        <v>45864</v>
      </c>
      <c r="B8" t="s">
        <v>403</v>
      </c>
      <c r="C8" s="9">
        <v>1159.06</v>
      </c>
      <c r="D8" s="14">
        <v>45870</v>
      </c>
      <c r="E8" s="9">
        <f t="shared" si="2"/>
        <v>241.4708333333333</v>
      </c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8"/>
      <c r="W8" s="208"/>
      <c r="X8" s="208"/>
      <c r="Y8" s="209"/>
      <c r="Z8" s="196">
        <f>C8/24</f>
        <v>48.294166666666662</v>
      </c>
      <c r="AA8" s="208">
        <f t="shared" ref="AA8:AF8" si="7">Z8</f>
        <v>48.294166666666662</v>
      </c>
      <c r="AB8" s="208">
        <f t="shared" si="7"/>
        <v>48.294166666666662</v>
      </c>
      <c r="AC8" s="208">
        <f t="shared" si="7"/>
        <v>48.294166666666662</v>
      </c>
      <c r="AD8" s="208">
        <f t="shared" si="7"/>
        <v>48.294166666666662</v>
      </c>
      <c r="AE8" s="11">
        <f t="shared" si="7"/>
        <v>48.294166666666662</v>
      </c>
      <c r="AF8" s="11">
        <f t="shared" si="7"/>
        <v>48.294166666666662</v>
      </c>
      <c r="AG8" s="11">
        <f>C8-SUM(F8:AF8)</f>
        <v>821.00083333333328</v>
      </c>
    </row>
    <row r="9" spans="1:33" x14ac:dyDescent="0.3">
      <c r="A9" s="14">
        <v>45873</v>
      </c>
      <c r="B9" t="s">
        <v>331</v>
      </c>
      <c r="C9" s="9">
        <v>1402.46</v>
      </c>
      <c r="D9" s="14">
        <v>45901</v>
      </c>
      <c r="E9" s="9">
        <f t="shared" si="2"/>
        <v>1402.46</v>
      </c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8"/>
      <c r="W9" s="208"/>
      <c r="X9" s="208"/>
      <c r="Y9" s="209"/>
      <c r="Z9" s="196"/>
      <c r="AA9" s="208">
        <v>288.43</v>
      </c>
      <c r="AB9" s="208">
        <v>288.43</v>
      </c>
      <c r="AC9" s="208">
        <f>825.6-226</f>
        <v>599.6</v>
      </c>
      <c r="AD9" s="208">
        <v>226</v>
      </c>
      <c r="AE9" s="11"/>
      <c r="AF9" s="11"/>
      <c r="AG9" s="11">
        <f t="shared" ref="AG9:AG13" si="8">C9-SUM(F9:AF9)</f>
        <v>0</v>
      </c>
    </row>
    <row r="10" spans="1:33" x14ac:dyDescent="0.3">
      <c r="A10" s="14">
        <v>45961</v>
      </c>
      <c r="B10" t="s">
        <v>353</v>
      </c>
      <c r="C10" s="9">
        <v>2402.0700000000002</v>
      </c>
      <c r="D10" s="14">
        <v>45962</v>
      </c>
      <c r="E10" s="9">
        <f t="shared" si="2"/>
        <v>2402.0700000000002</v>
      </c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8"/>
      <c r="W10" s="208"/>
      <c r="X10" s="208"/>
      <c r="Y10" s="209"/>
      <c r="Z10" s="196"/>
      <c r="AA10" s="208"/>
      <c r="AB10" s="208"/>
      <c r="AC10" s="208">
        <v>2402.0700000000002</v>
      </c>
      <c r="AD10" s="208"/>
      <c r="AE10" s="11"/>
      <c r="AF10" s="11"/>
      <c r="AG10" s="11">
        <f t="shared" si="8"/>
        <v>0</v>
      </c>
    </row>
    <row r="11" spans="1:33" x14ac:dyDescent="0.3">
      <c r="A11" s="14">
        <v>45961</v>
      </c>
      <c r="B11" t="s">
        <v>443</v>
      </c>
      <c r="C11" s="9">
        <f>-'21350 - Insurance Payable'!M44</f>
        <v>-1942.5954677247828</v>
      </c>
      <c r="D11" s="14" t="s">
        <v>445</v>
      </c>
      <c r="E11" s="9">
        <f t="shared" si="2"/>
        <v>-1942.6</v>
      </c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8"/>
      <c r="W11" s="208"/>
      <c r="X11" s="208"/>
      <c r="Y11" s="209"/>
      <c r="Z11" s="196"/>
      <c r="AA11" s="208"/>
      <c r="AB11" s="208">
        <f>-1942.6/3</f>
        <v>-647.5333333333333</v>
      </c>
      <c r="AC11" s="208">
        <f>AB11</f>
        <v>-647.5333333333333</v>
      </c>
      <c r="AD11" s="208">
        <f>AC11</f>
        <v>-647.5333333333333</v>
      </c>
      <c r="AE11" s="11"/>
      <c r="AF11" s="11"/>
      <c r="AG11" s="11">
        <f t="shared" si="8"/>
        <v>4.5322752171159664E-3</v>
      </c>
    </row>
    <row r="12" spans="1:33" x14ac:dyDescent="0.3">
      <c r="A12" s="14">
        <v>45991</v>
      </c>
      <c r="B12" t="s">
        <v>136</v>
      </c>
      <c r="C12" s="9">
        <v>38908.981255498358</v>
      </c>
      <c r="D12" t="s">
        <v>450</v>
      </c>
      <c r="E12" s="9">
        <f t="shared" si="2"/>
        <v>0</v>
      </c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8"/>
      <c r="W12" s="208"/>
      <c r="X12" s="208"/>
      <c r="Y12" s="209"/>
      <c r="Z12" s="196"/>
      <c r="AA12" s="208"/>
      <c r="AB12" s="208"/>
      <c r="AC12" s="208"/>
      <c r="AD12" s="208"/>
      <c r="AE12" s="11">
        <f>38908.98/12</f>
        <v>3242.4150000000004</v>
      </c>
      <c r="AF12" s="11">
        <f>AE12</f>
        <v>3242.4150000000004</v>
      </c>
      <c r="AG12" s="11">
        <f t="shared" si="8"/>
        <v>32424.151255498356</v>
      </c>
    </row>
    <row r="13" spans="1:33" x14ac:dyDescent="0.3">
      <c r="E13" s="9">
        <f t="shared" si="2"/>
        <v>0</v>
      </c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G13" s="11">
        <f t="shared" si="8"/>
        <v>0</v>
      </c>
    </row>
    <row r="14" spans="1:33" ht="15" thickBot="1" x14ac:dyDescent="0.35">
      <c r="C14" s="9">
        <f>SUM(C2:C13)</f>
        <v>141115.9957877736</v>
      </c>
      <c r="E14" s="9">
        <f>SUM(E2:E13)</f>
        <v>101289.42083333334</v>
      </c>
      <c r="F14" s="282">
        <v>0</v>
      </c>
      <c r="G14" s="282">
        <f>SUM(G2:G13)</f>
        <v>4309.17</v>
      </c>
      <c r="H14" s="282">
        <f t="shared" ref="H14:R14" si="9">SUM(H2:H13)</f>
        <v>4309.17</v>
      </c>
      <c r="I14" s="282">
        <f t="shared" si="9"/>
        <v>4309.17</v>
      </c>
      <c r="J14" s="282">
        <f t="shared" si="9"/>
        <v>4309.17</v>
      </c>
      <c r="K14" s="282">
        <f t="shared" si="9"/>
        <v>4309.17</v>
      </c>
      <c r="L14" s="282">
        <f t="shared" si="9"/>
        <v>4309.17</v>
      </c>
      <c r="M14" s="282">
        <f t="shared" si="9"/>
        <v>4143.6366666666663</v>
      </c>
      <c r="N14" s="282">
        <f t="shared" si="9"/>
        <v>4143.6366666666663</v>
      </c>
      <c r="O14" s="282">
        <f t="shared" si="9"/>
        <v>4143.6366666666663</v>
      </c>
      <c r="P14" s="283">
        <f t="shared" si="9"/>
        <v>4143.6366666666663</v>
      </c>
      <c r="Q14" s="283">
        <f t="shared" si="9"/>
        <v>4143.6366666666663</v>
      </c>
      <c r="R14" s="283">
        <f t="shared" si="9"/>
        <v>4143.5966666666664</v>
      </c>
      <c r="S14" s="283">
        <f t="shared" ref="S14:AD14" si="10">SUM(S2:S13)</f>
        <v>3819.1841666666664</v>
      </c>
      <c r="T14" s="283">
        <f t="shared" si="10"/>
        <v>3317.4341666666664</v>
      </c>
      <c r="U14" s="283">
        <f t="shared" si="10"/>
        <v>3317.4341666666664</v>
      </c>
      <c r="V14" s="283">
        <f t="shared" si="10"/>
        <v>5605.1241666666665</v>
      </c>
      <c r="W14" s="283">
        <f t="shared" si="10"/>
        <v>9188.0041666666657</v>
      </c>
      <c r="X14" s="283">
        <f t="shared" si="10"/>
        <v>3317.4341666666664</v>
      </c>
      <c r="Y14" s="283">
        <f t="shared" si="10"/>
        <v>3317.4341666666664</v>
      </c>
      <c r="Z14" s="283">
        <f t="shared" si="10"/>
        <v>3365.728333333333</v>
      </c>
      <c r="AA14" s="283">
        <f t="shared" si="10"/>
        <v>3654.1583333333328</v>
      </c>
      <c r="AB14" s="283">
        <f t="shared" si="10"/>
        <v>3006.6249999999995</v>
      </c>
      <c r="AC14" s="283">
        <f t="shared" si="10"/>
        <v>5719.8649999999998</v>
      </c>
      <c r="AD14" s="283">
        <f t="shared" si="10"/>
        <v>2944.1949999999997</v>
      </c>
      <c r="AE14" s="283">
        <f t="shared" ref="AE14:AF14" si="11">SUM(AE2:AE13)</f>
        <v>3290.709166666667</v>
      </c>
      <c r="AF14" s="283">
        <f t="shared" si="11"/>
        <v>3290.709166666667</v>
      </c>
    </row>
    <row r="15" spans="1:33" x14ac:dyDescent="0.3">
      <c r="E15" s="9"/>
      <c r="O15"/>
    </row>
    <row r="16" spans="1:33" x14ac:dyDescent="0.3">
      <c r="E16" s="9"/>
      <c r="O16"/>
      <c r="X16" t="s">
        <v>455</v>
      </c>
    </row>
    <row r="17" spans="4:15" x14ac:dyDescent="0.3">
      <c r="E17" s="9"/>
      <c r="O17"/>
    </row>
    <row r="18" spans="4:15" x14ac:dyDescent="0.3">
      <c r="E18" s="9"/>
      <c r="O18"/>
    </row>
    <row r="19" spans="4:15" x14ac:dyDescent="0.3">
      <c r="D19" t="s">
        <v>139</v>
      </c>
      <c r="E19" s="281">
        <f>C14-E14</f>
        <v>39826.574954440264</v>
      </c>
      <c r="O19"/>
    </row>
    <row r="20" spans="4:15" x14ac:dyDescent="0.3">
      <c r="D20" t="s">
        <v>140</v>
      </c>
      <c r="E20" s="9">
        <v>39826.57</v>
      </c>
      <c r="O20"/>
    </row>
    <row r="21" spans="4:15" ht="15" thickBot="1" x14ac:dyDescent="0.35">
      <c r="D21" t="s">
        <v>80</v>
      </c>
      <c r="E21" s="369">
        <f>E19-E20</f>
        <v>4.95444026455516E-3</v>
      </c>
      <c r="O21"/>
    </row>
    <row r="22" spans="4:15" ht="15" thickTop="1" x14ac:dyDescent="0.3">
      <c r="E22" s="9"/>
      <c r="O22"/>
    </row>
    <row r="23" spans="4:15" x14ac:dyDescent="0.3">
      <c r="E23" s="9"/>
      <c r="O23"/>
    </row>
    <row r="24" spans="4:15" x14ac:dyDescent="0.3">
      <c r="E24" s="9"/>
      <c r="O24"/>
    </row>
    <row r="25" spans="4:15" x14ac:dyDescent="0.3">
      <c r="E25" s="9"/>
      <c r="O25"/>
    </row>
    <row r="26" spans="4:15" x14ac:dyDescent="0.3">
      <c r="E26" s="9"/>
      <c r="O26"/>
    </row>
    <row r="27" spans="4:15" x14ac:dyDescent="0.3">
      <c r="E27" s="9"/>
      <c r="O27"/>
    </row>
    <row r="28" spans="4:15" x14ac:dyDescent="0.3">
      <c r="E28" s="9"/>
      <c r="O28"/>
    </row>
    <row r="29" spans="4:15" x14ac:dyDescent="0.3">
      <c r="E29" s="9"/>
      <c r="O29"/>
    </row>
    <row r="30" spans="4:15" x14ac:dyDescent="0.3">
      <c r="E30" s="9"/>
      <c r="O30"/>
    </row>
    <row r="31" spans="4:15" x14ac:dyDescent="0.3">
      <c r="E31" s="9"/>
      <c r="O31"/>
    </row>
    <row r="32" spans="4:15" x14ac:dyDescent="0.3">
      <c r="E32" s="9"/>
      <c r="O32"/>
    </row>
    <row r="33" spans="5:24" x14ac:dyDescent="0.3">
      <c r="E33" s="9"/>
      <c r="O33"/>
    </row>
    <row r="34" spans="5:24" x14ac:dyDescent="0.3">
      <c r="E34" s="9"/>
      <c r="O34"/>
    </row>
    <row r="35" spans="5:24" x14ac:dyDescent="0.3">
      <c r="O35"/>
    </row>
    <row r="36" spans="5:24" x14ac:dyDescent="0.3">
      <c r="O36"/>
    </row>
    <row r="37" spans="5:24" x14ac:dyDescent="0.3">
      <c r="O37"/>
      <c r="X37" t="s">
        <v>456</v>
      </c>
    </row>
    <row r="38" spans="5:24" x14ac:dyDescent="0.3">
      <c r="O38"/>
    </row>
    <row r="39" spans="5:24" x14ac:dyDescent="0.3">
      <c r="O39"/>
    </row>
    <row r="40" spans="5:24" x14ac:dyDescent="0.3">
      <c r="O40"/>
    </row>
    <row r="41" spans="5:24" x14ac:dyDescent="0.3">
      <c r="O41"/>
    </row>
    <row r="42" spans="5:24" x14ac:dyDescent="0.3">
      <c r="O42"/>
    </row>
    <row r="43" spans="5:24" x14ac:dyDescent="0.3">
      <c r="O43"/>
    </row>
    <row r="44" spans="5:24" x14ac:dyDescent="0.3">
      <c r="O44"/>
    </row>
    <row r="45" spans="5:24" x14ac:dyDescent="0.3">
      <c r="O45"/>
    </row>
    <row r="46" spans="5:24" x14ac:dyDescent="0.3">
      <c r="O46"/>
    </row>
    <row r="47" spans="5:24" x14ac:dyDescent="0.3">
      <c r="O47"/>
    </row>
    <row r="48" spans="5:24" x14ac:dyDescent="0.3">
      <c r="O48"/>
    </row>
    <row r="49" spans="15:15" x14ac:dyDescent="0.3">
      <c r="O49"/>
    </row>
    <row r="50" spans="15:15" x14ac:dyDescent="0.3">
      <c r="O50"/>
    </row>
    <row r="51" spans="15:15" x14ac:dyDescent="0.3">
      <c r="O51"/>
    </row>
    <row r="52" spans="15:15" x14ac:dyDescent="0.3">
      <c r="O52"/>
    </row>
    <row r="53" spans="15:15" x14ac:dyDescent="0.3">
      <c r="O53"/>
    </row>
    <row r="54" spans="15:15" x14ac:dyDescent="0.3">
      <c r="O54"/>
    </row>
    <row r="55" spans="15:15" x14ac:dyDescent="0.3">
      <c r="O55"/>
    </row>
    <row r="56" spans="15:15" x14ac:dyDescent="0.3">
      <c r="O56"/>
    </row>
    <row r="57" spans="15:15" x14ac:dyDescent="0.3">
      <c r="O57"/>
    </row>
    <row r="58" spans="15:15" x14ac:dyDescent="0.3">
      <c r="O58"/>
    </row>
    <row r="59" spans="15:15" x14ac:dyDescent="0.3">
      <c r="O59"/>
    </row>
    <row r="60" spans="15:15" x14ac:dyDescent="0.3">
      <c r="O60"/>
    </row>
    <row r="61" spans="15:15" x14ac:dyDescent="0.3">
      <c r="O61"/>
    </row>
    <row r="62" spans="15:15" x14ac:dyDescent="0.3">
      <c r="O62"/>
    </row>
    <row r="63" spans="15:15" x14ac:dyDescent="0.3">
      <c r="O63"/>
    </row>
    <row r="64" spans="15:15" x14ac:dyDescent="0.3">
      <c r="O64"/>
    </row>
    <row r="65" spans="15:15" x14ac:dyDescent="0.3">
      <c r="O65"/>
    </row>
    <row r="66" spans="15:15" x14ac:dyDescent="0.3">
      <c r="O66"/>
    </row>
    <row r="67" spans="15:15" x14ac:dyDescent="0.3">
      <c r="O67"/>
    </row>
    <row r="68" spans="15:15" x14ac:dyDescent="0.3">
      <c r="O68"/>
    </row>
    <row r="69" spans="15:15" x14ac:dyDescent="0.3">
      <c r="O69"/>
    </row>
    <row r="70" spans="15:15" x14ac:dyDescent="0.3">
      <c r="O70"/>
    </row>
    <row r="71" spans="15:15" x14ac:dyDescent="0.3">
      <c r="O71"/>
    </row>
    <row r="72" spans="15:15" x14ac:dyDescent="0.3">
      <c r="O72"/>
    </row>
    <row r="73" spans="15:15" x14ac:dyDescent="0.3">
      <c r="O73"/>
    </row>
    <row r="74" spans="15:15" x14ac:dyDescent="0.3">
      <c r="O74"/>
    </row>
    <row r="75" spans="15:15" x14ac:dyDescent="0.3">
      <c r="O75"/>
    </row>
    <row r="76" spans="15:15" x14ac:dyDescent="0.3">
      <c r="O76"/>
    </row>
    <row r="77" spans="15:15" x14ac:dyDescent="0.3">
      <c r="O77"/>
    </row>
    <row r="78" spans="15:15" x14ac:dyDescent="0.3">
      <c r="O78"/>
    </row>
    <row r="79" spans="15:15" x14ac:dyDescent="0.3">
      <c r="O79"/>
    </row>
    <row r="80" spans="15:15" x14ac:dyDescent="0.3">
      <c r="O80"/>
    </row>
    <row r="81" spans="15:15" x14ac:dyDescent="0.3">
      <c r="O81"/>
    </row>
    <row r="82" spans="15:15" x14ac:dyDescent="0.3">
      <c r="O82"/>
    </row>
    <row r="83" spans="15:15" x14ac:dyDescent="0.3">
      <c r="O83"/>
    </row>
    <row r="84" spans="15:15" x14ac:dyDescent="0.3">
      <c r="O84"/>
    </row>
    <row r="85" spans="15:15" x14ac:dyDescent="0.3">
      <c r="O85"/>
    </row>
    <row r="86" spans="15:15" x14ac:dyDescent="0.3">
      <c r="O86"/>
    </row>
    <row r="87" spans="15:15" x14ac:dyDescent="0.3">
      <c r="O87"/>
    </row>
    <row r="88" spans="15:15" x14ac:dyDescent="0.3">
      <c r="O88"/>
    </row>
    <row r="89" spans="15:15" x14ac:dyDescent="0.3">
      <c r="O89"/>
    </row>
    <row r="90" spans="15:15" x14ac:dyDescent="0.3">
      <c r="O90"/>
    </row>
    <row r="91" spans="15:15" x14ac:dyDescent="0.3">
      <c r="O91"/>
    </row>
    <row r="92" spans="15:15" x14ac:dyDescent="0.3">
      <c r="O92"/>
    </row>
    <row r="93" spans="15:15" x14ac:dyDescent="0.3">
      <c r="O93"/>
    </row>
    <row r="94" spans="15:15" x14ac:dyDescent="0.3">
      <c r="O94"/>
    </row>
    <row r="95" spans="15:15" x14ac:dyDescent="0.3">
      <c r="O95"/>
    </row>
    <row r="96" spans="15:15" x14ac:dyDescent="0.3">
      <c r="O96"/>
    </row>
    <row r="97" spans="15:15" x14ac:dyDescent="0.3">
      <c r="O97"/>
    </row>
    <row r="98" spans="15:15" x14ac:dyDescent="0.3">
      <c r="O98"/>
    </row>
    <row r="99" spans="15:15" x14ac:dyDescent="0.3">
      <c r="O99"/>
    </row>
    <row r="100" spans="15:15" x14ac:dyDescent="0.3">
      <c r="O100"/>
    </row>
    <row r="101" spans="15:15" x14ac:dyDescent="0.3">
      <c r="O101"/>
    </row>
    <row r="102" spans="15:15" x14ac:dyDescent="0.3">
      <c r="O102"/>
    </row>
    <row r="103" spans="15:15" x14ac:dyDescent="0.3">
      <c r="O103"/>
    </row>
    <row r="104" spans="15:15" x14ac:dyDescent="0.3">
      <c r="O104"/>
    </row>
    <row r="105" spans="15:15" x14ac:dyDescent="0.3">
      <c r="O105"/>
    </row>
    <row r="106" spans="15:15" x14ac:dyDescent="0.3">
      <c r="O106"/>
    </row>
    <row r="107" spans="15:15" x14ac:dyDescent="0.3">
      <c r="O107"/>
    </row>
    <row r="108" spans="15:15" x14ac:dyDescent="0.3">
      <c r="O108"/>
    </row>
    <row r="109" spans="15:15" x14ac:dyDescent="0.3">
      <c r="O109"/>
    </row>
    <row r="110" spans="15:15" x14ac:dyDescent="0.3">
      <c r="O110"/>
    </row>
    <row r="111" spans="15:15" x14ac:dyDescent="0.3">
      <c r="O111"/>
    </row>
    <row r="112" spans="15:15" x14ac:dyDescent="0.3">
      <c r="O112"/>
    </row>
    <row r="113" spans="15:15" x14ac:dyDescent="0.3">
      <c r="O113"/>
    </row>
    <row r="114" spans="15:15" x14ac:dyDescent="0.3">
      <c r="O114"/>
    </row>
    <row r="115" spans="15:15" x14ac:dyDescent="0.3">
      <c r="O115"/>
    </row>
    <row r="116" spans="15:15" x14ac:dyDescent="0.3">
      <c r="O116"/>
    </row>
    <row r="117" spans="15:15" x14ac:dyDescent="0.3">
      <c r="O117"/>
    </row>
    <row r="118" spans="15:15" x14ac:dyDescent="0.3">
      <c r="O118"/>
    </row>
    <row r="119" spans="15:15" x14ac:dyDescent="0.3">
      <c r="O119"/>
    </row>
    <row r="120" spans="15:15" x14ac:dyDescent="0.3">
      <c r="O120"/>
    </row>
    <row r="121" spans="15:15" x14ac:dyDescent="0.3">
      <c r="O121"/>
    </row>
    <row r="122" spans="15:15" x14ac:dyDescent="0.3">
      <c r="O122"/>
    </row>
    <row r="123" spans="15:15" x14ac:dyDescent="0.3">
      <c r="O123"/>
    </row>
    <row r="124" spans="15:15" x14ac:dyDescent="0.3">
      <c r="O124"/>
    </row>
    <row r="125" spans="15:15" x14ac:dyDescent="0.3">
      <c r="O125"/>
    </row>
    <row r="126" spans="15:15" x14ac:dyDescent="0.3">
      <c r="O126"/>
    </row>
    <row r="127" spans="15:15" x14ac:dyDescent="0.3">
      <c r="O127"/>
    </row>
    <row r="128" spans="15:15" x14ac:dyDescent="0.3">
      <c r="O128"/>
    </row>
    <row r="129" spans="15:15" x14ac:dyDescent="0.3">
      <c r="O129"/>
    </row>
    <row r="130" spans="15:15" x14ac:dyDescent="0.3">
      <c r="O130"/>
    </row>
    <row r="131" spans="15:15" x14ac:dyDescent="0.3">
      <c r="O131"/>
    </row>
    <row r="132" spans="15:15" x14ac:dyDescent="0.3">
      <c r="O132"/>
    </row>
    <row r="133" spans="15:15" x14ac:dyDescent="0.3">
      <c r="O133"/>
    </row>
    <row r="134" spans="15:15" x14ac:dyDescent="0.3">
      <c r="O134"/>
    </row>
    <row r="135" spans="15:15" x14ac:dyDescent="0.3">
      <c r="O135"/>
    </row>
    <row r="136" spans="15:15" x14ac:dyDescent="0.3">
      <c r="O136"/>
    </row>
    <row r="137" spans="15:15" x14ac:dyDescent="0.3">
      <c r="O137"/>
    </row>
    <row r="138" spans="15:15" x14ac:dyDescent="0.3">
      <c r="O138"/>
    </row>
    <row r="139" spans="15:15" x14ac:dyDescent="0.3">
      <c r="O139"/>
    </row>
    <row r="140" spans="15:15" x14ac:dyDescent="0.3">
      <c r="O140"/>
    </row>
    <row r="141" spans="15:15" x14ac:dyDescent="0.3">
      <c r="O141"/>
    </row>
    <row r="142" spans="15:15" x14ac:dyDescent="0.3">
      <c r="O142"/>
    </row>
    <row r="143" spans="15:15" x14ac:dyDescent="0.3">
      <c r="O143"/>
    </row>
    <row r="144" spans="15:15" x14ac:dyDescent="0.3">
      <c r="O144"/>
    </row>
    <row r="145" spans="15:15" x14ac:dyDescent="0.3">
      <c r="O145"/>
    </row>
    <row r="146" spans="15:15" x14ac:dyDescent="0.3">
      <c r="O146"/>
    </row>
    <row r="147" spans="15:15" x14ac:dyDescent="0.3">
      <c r="O147"/>
    </row>
    <row r="148" spans="15:15" x14ac:dyDescent="0.3">
      <c r="O148"/>
    </row>
    <row r="149" spans="15:15" x14ac:dyDescent="0.3">
      <c r="O149"/>
    </row>
    <row r="150" spans="15:15" x14ac:dyDescent="0.3">
      <c r="O150"/>
    </row>
    <row r="151" spans="15:15" x14ac:dyDescent="0.3">
      <c r="O151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8851-A5CE-4969-BE0E-ADE77FB40748}">
  <sheetPr>
    <tabColor rgb="FF92D050"/>
  </sheetPr>
  <dimension ref="A1:EQ63"/>
  <sheetViews>
    <sheetView topLeftCell="AN22" workbookViewId="0">
      <selection activeCell="AZ65" sqref="AZ65"/>
    </sheetView>
  </sheetViews>
  <sheetFormatPr defaultColWidth="9.109375" defaultRowHeight="14.4" outlineLevelCol="1" x14ac:dyDescent="0.3"/>
  <cols>
    <col min="1" max="1" width="20.6640625" style="41" bestFit="1" customWidth="1"/>
    <col min="2" max="2" width="4.5546875" style="42" bestFit="1" customWidth="1"/>
    <col min="3" max="31" width="11.5546875" style="41" hidden="1" customWidth="1" outlineLevel="1"/>
    <col min="32" max="35" width="11.5546875" style="41" bestFit="1" customWidth="1" outlineLevel="1"/>
    <col min="36" max="43" width="11.5546875" style="41" customWidth="1" outlineLevel="1"/>
    <col min="44" max="55" width="11.5546875" style="198" customWidth="1" outlineLevel="1"/>
    <col min="56" max="56" width="11.5546875" style="41" customWidth="1" outlineLevel="1"/>
    <col min="57" max="57" width="11.5546875" style="40" customWidth="1" outlineLevel="1"/>
    <col min="58" max="64" width="11.5546875" style="41" customWidth="1" outlineLevel="1"/>
    <col min="65" max="90" width="11.5546875" style="41" bestFit="1" customWidth="1"/>
    <col min="91" max="147" width="13.33203125" style="41" bestFit="1" customWidth="1"/>
    <col min="148" max="16384" width="9.109375" style="41"/>
  </cols>
  <sheetData>
    <row r="1" spans="1:147" x14ac:dyDescent="0.3">
      <c r="A1" s="40"/>
      <c r="B1" s="44"/>
    </row>
    <row r="2" spans="1:147" x14ac:dyDescent="0.3">
      <c r="A2" s="40" t="s">
        <v>35</v>
      </c>
    </row>
    <row r="3" spans="1:147" s="43" customFormat="1" x14ac:dyDescent="0.3">
      <c r="A3" s="42"/>
      <c r="B3" s="42" t="s">
        <v>27</v>
      </c>
      <c r="C3" s="43">
        <v>44439</v>
      </c>
      <c r="D3" s="43">
        <f t="shared" ref="D3:AI3" si="0">EOMONTH(C3,1)</f>
        <v>44469</v>
      </c>
      <c r="E3" s="43">
        <f t="shared" si="0"/>
        <v>44500</v>
      </c>
      <c r="F3" s="43">
        <f t="shared" si="0"/>
        <v>44530</v>
      </c>
      <c r="G3" s="43">
        <f t="shared" si="0"/>
        <v>44561</v>
      </c>
      <c r="H3" s="43">
        <f t="shared" si="0"/>
        <v>44592</v>
      </c>
      <c r="I3" s="43">
        <f t="shared" si="0"/>
        <v>44620</v>
      </c>
      <c r="J3" s="43">
        <f t="shared" si="0"/>
        <v>44651</v>
      </c>
      <c r="K3" s="43">
        <f t="shared" si="0"/>
        <v>44681</v>
      </c>
      <c r="L3" s="43">
        <f t="shared" si="0"/>
        <v>44712</v>
      </c>
      <c r="M3" s="43">
        <f t="shared" si="0"/>
        <v>44742</v>
      </c>
      <c r="N3" s="43">
        <f t="shared" si="0"/>
        <v>44773</v>
      </c>
      <c r="O3" s="43">
        <f t="shared" si="0"/>
        <v>44804</v>
      </c>
      <c r="P3" s="43">
        <f t="shared" si="0"/>
        <v>44834</v>
      </c>
      <c r="Q3" s="43">
        <f t="shared" si="0"/>
        <v>44865</v>
      </c>
      <c r="R3" s="43">
        <f t="shared" si="0"/>
        <v>44895</v>
      </c>
      <c r="S3" s="43">
        <f t="shared" si="0"/>
        <v>44926</v>
      </c>
      <c r="T3" s="43">
        <f t="shared" si="0"/>
        <v>44957</v>
      </c>
      <c r="U3" s="43">
        <f t="shared" si="0"/>
        <v>44985</v>
      </c>
      <c r="V3" s="43">
        <f t="shared" si="0"/>
        <v>45016</v>
      </c>
      <c r="W3" s="43">
        <f t="shared" si="0"/>
        <v>45046</v>
      </c>
      <c r="X3" s="43">
        <f t="shared" si="0"/>
        <v>45077</v>
      </c>
      <c r="Y3" s="43">
        <f t="shared" si="0"/>
        <v>45107</v>
      </c>
      <c r="Z3" s="43">
        <f t="shared" si="0"/>
        <v>45138</v>
      </c>
      <c r="AA3" s="43">
        <f t="shared" si="0"/>
        <v>45169</v>
      </c>
      <c r="AB3" s="43">
        <f t="shared" si="0"/>
        <v>45199</v>
      </c>
      <c r="AC3" s="43">
        <f t="shared" si="0"/>
        <v>45230</v>
      </c>
      <c r="AD3" s="43">
        <f t="shared" si="0"/>
        <v>45260</v>
      </c>
      <c r="AE3" s="43">
        <f t="shared" si="0"/>
        <v>45291</v>
      </c>
      <c r="AF3" s="43">
        <f t="shared" si="0"/>
        <v>45322</v>
      </c>
      <c r="AG3" s="43">
        <f t="shared" si="0"/>
        <v>45351</v>
      </c>
      <c r="AH3" s="43">
        <f t="shared" si="0"/>
        <v>45382</v>
      </c>
      <c r="AI3" s="43">
        <f t="shared" si="0"/>
        <v>45412</v>
      </c>
      <c r="AJ3" s="43">
        <f t="shared" ref="AJ3:BO3" si="1">EOMONTH(AI3,1)</f>
        <v>45443</v>
      </c>
      <c r="AK3" s="43">
        <f t="shared" si="1"/>
        <v>45473</v>
      </c>
      <c r="AL3" s="43">
        <f t="shared" si="1"/>
        <v>45504</v>
      </c>
      <c r="AM3" s="43">
        <f t="shared" si="1"/>
        <v>45535</v>
      </c>
      <c r="AN3" s="43">
        <f t="shared" si="1"/>
        <v>45565</v>
      </c>
      <c r="AO3" s="43">
        <f t="shared" si="1"/>
        <v>45596</v>
      </c>
      <c r="AP3" s="43">
        <f t="shared" si="1"/>
        <v>45626</v>
      </c>
      <c r="AQ3" s="43">
        <f t="shared" si="1"/>
        <v>45657</v>
      </c>
      <c r="AR3" s="199">
        <f t="shared" si="1"/>
        <v>45688</v>
      </c>
      <c r="AS3" s="199">
        <f t="shared" si="1"/>
        <v>45716</v>
      </c>
      <c r="AT3" s="199">
        <f t="shared" si="1"/>
        <v>45747</v>
      </c>
      <c r="AU3" s="199">
        <f t="shared" si="1"/>
        <v>45777</v>
      </c>
      <c r="AV3" s="199">
        <f t="shared" si="1"/>
        <v>45808</v>
      </c>
      <c r="AW3" s="199">
        <f t="shared" si="1"/>
        <v>45838</v>
      </c>
      <c r="AX3" s="199">
        <f t="shared" si="1"/>
        <v>45869</v>
      </c>
      <c r="AY3" s="199">
        <f t="shared" si="1"/>
        <v>45900</v>
      </c>
      <c r="AZ3" s="199">
        <f t="shared" si="1"/>
        <v>45930</v>
      </c>
      <c r="BA3" s="199">
        <f t="shared" si="1"/>
        <v>45961</v>
      </c>
      <c r="BB3" s="199">
        <f t="shared" si="1"/>
        <v>45991</v>
      </c>
      <c r="BC3" s="199">
        <f t="shared" si="1"/>
        <v>46022</v>
      </c>
      <c r="BD3" s="43">
        <f t="shared" si="1"/>
        <v>46053</v>
      </c>
      <c r="BE3" s="43">
        <f t="shared" si="1"/>
        <v>46081</v>
      </c>
      <c r="BF3" s="43">
        <f t="shared" si="1"/>
        <v>46112</v>
      </c>
      <c r="BG3" s="43">
        <f t="shared" si="1"/>
        <v>46142</v>
      </c>
      <c r="BH3" s="43">
        <f t="shared" si="1"/>
        <v>46173</v>
      </c>
      <c r="BI3" s="43">
        <f t="shared" si="1"/>
        <v>46203</v>
      </c>
      <c r="BJ3" s="43">
        <f t="shared" si="1"/>
        <v>46234</v>
      </c>
      <c r="BK3" s="43">
        <f t="shared" si="1"/>
        <v>46265</v>
      </c>
      <c r="BL3" s="43">
        <f t="shared" si="1"/>
        <v>46295</v>
      </c>
      <c r="BM3" s="43">
        <f t="shared" si="1"/>
        <v>46326</v>
      </c>
      <c r="BN3" s="43">
        <f t="shared" si="1"/>
        <v>46356</v>
      </c>
      <c r="BO3" s="43">
        <f t="shared" si="1"/>
        <v>46387</v>
      </c>
      <c r="BP3" s="43">
        <f t="shared" ref="BP3:CU3" si="2">EOMONTH(BO3,1)</f>
        <v>46418</v>
      </c>
      <c r="BQ3" s="43">
        <f t="shared" si="2"/>
        <v>46446</v>
      </c>
      <c r="BR3" s="43">
        <f t="shared" si="2"/>
        <v>46477</v>
      </c>
      <c r="BS3" s="43">
        <f t="shared" si="2"/>
        <v>46507</v>
      </c>
      <c r="BT3" s="43">
        <f t="shared" si="2"/>
        <v>46538</v>
      </c>
      <c r="BU3" s="43">
        <f t="shared" si="2"/>
        <v>46568</v>
      </c>
      <c r="BV3" s="43">
        <f t="shared" si="2"/>
        <v>46599</v>
      </c>
      <c r="BW3" s="43">
        <f t="shared" si="2"/>
        <v>46630</v>
      </c>
      <c r="BX3" s="43">
        <f t="shared" si="2"/>
        <v>46660</v>
      </c>
      <c r="BY3" s="43">
        <f t="shared" si="2"/>
        <v>46691</v>
      </c>
      <c r="BZ3" s="43">
        <f t="shared" si="2"/>
        <v>46721</v>
      </c>
      <c r="CA3" s="43">
        <f t="shared" si="2"/>
        <v>46752</v>
      </c>
      <c r="CB3" s="43">
        <f t="shared" si="2"/>
        <v>46783</v>
      </c>
      <c r="CC3" s="43">
        <f t="shared" si="2"/>
        <v>46812</v>
      </c>
      <c r="CD3" s="43">
        <f t="shared" si="2"/>
        <v>46843</v>
      </c>
      <c r="CE3" s="43">
        <f t="shared" si="2"/>
        <v>46873</v>
      </c>
      <c r="CF3" s="43">
        <f t="shared" si="2"/>
        <v>46904</v>
      </c>
      <c r="CG3" s="43">
        <f t="shared" si="2"/>
        <v>46934</v>
      </c>
      <c r="CH3" s="43">
        <f t="shared" si="2"/>
        <v>46965</v>
      </c>
      <c r="CI3" s="43">
        <f t="shared" si="2"/>
        <v>46996</v>
      </c>
      <c r="CJ3" s="43">
        <f t="shared" si="2"/>
        <v>47026</v>
      </c>
      <c r="CK3" s="43">
        <f t="shared" si="2"/>
        <v>47057</v>
      </c>
      <c r="CL3" s="43">
        <f t="shared" si="2"/>
        <v>47087</v>
      </c>
      <c r="CM3" s="43">
        <f t="shared" si="2"/>
        <v>47118</v>
      </c>
      <c r="CN3" s="43">
        <f t="shared" si="2"/>
        <v>47149</v>
      </c>
      <c r="CO3" s="43">
        <f t="shared" si="2"/>
        <v>47177</v>
      </c>
      <c r="CP3" s="43">
        <f t="shared" si="2"/>
        <v>47208</v>
      </c>
      <c r="CQ3" s="43">
        <f t="shared" si="2"/>
        <v>47238</v>
      </c>
      <c r="CR3" s="43">
        <f t="shared" si="2"/>
        <v>47269</v>
      </c>
      <c r="CS3" s="43">
        <f t="shared" si="2"/>
        <v>47299</v>
      </c>
      <c r="CT3" s="43">
        <f t="shared" si="2"/>
        <v>47330</v>
      </c>
      <c r="CU3" s="43">
        <f t="shared" si="2"/>
        <v>47361</v>
      </c>
      <c r="CV3" s="43">
        <f t="shared" ref="CV3:EA3" si="3">EOMONTH(CU3,1)</f>
        <v>47391</v>
      </c>
      <c r="CW3" s="43">
        <f t="shared" si="3"/>
        <v>47422</v>
      </c>
      <c r="CX3" s="43">
        <f t="shared" si="3"/>
        <v>47452</v>
      </c>
      <c r="CY3" s="43">
        <f t="shared" si="3"/>
        <v>47483</v>
      </c>
      <c r="CZ3" s="43">
        <f t="shared" si="3"/>
        <v>47514</v>
      </c>
      <c r="DA3" s="43">
        <f t="shared" si="3"/>
        <v>47542</v>
      </c>
      <c r="DB3" s="43">
        <f t="shared" si="3"/>
        <v>47573</v>
      </c>
      <c r="DC3" s="43">
        <f t="shared" si="3"/>
        <v>47603</v>
      </c>
      <c r="DD3" s="43">
        <f t="shared" si="3"/>
        <v>47634</v>
      </c>
      <c r="DE3" s="43">
        <f t="shared" si="3"/>
        <v>47664</v>
      </c>
      <c r="DF3" s="43">
        <f t="shared" si="3"/>
        <v>47695</v>
      </c>
      <c r="DG3" s="43">
        <f t="shared" si="3"/>
        <v>47726</v>
      </c>
      <c r="DH3" s="43">
        <f t="shared" si="3"/>
        <v>47756</v>
      </c>
      <c r="DI3" s="43">
        <f t="shared" si="3"/>
        <v>47787</v>
      </c>
      <c r="DJ3" s="43">
        <f t="shared" si="3"/>
        <v>47817</v>
      </c>
      <c r="DK3" s="43">
        <f t="shared" si="3"/>
        <v>47848</v>
      </c>
      <c r="DL3" s="43">
        <f t="shared" si="3"/>
        <v>47879</v>
      </c>
      <c r="DM3" s="43">
        <f t="shared" si="3"/>
        <v>47907</v>
      </c>
      <c r="DN3" s="43">
        <f t="shared" si="3"/>
        <v>47938</v>
      </c>
      <c r="DO3" s="43">
        <f t="shared" si="3"/>
        <v>47968</v>
      </c>
      <c r="DP3" s="43">
        <f t="shared" si="3"/>
        <v>47999</v>
      </c>
      <c r="DQ3" s="43">
        <f t="shared" si="3"/>
        <v>48029</v>
      </c>
      <c r="DR3" s="43">
        <f t="shared" si="3"/>
        <v>48060</v>
      </c>
      <c r="DS3" s="43">
        <f t="shared" si="3"/>
        <v>48091</v>
      </c>
      <c r="DT3" s="43">
        <f t="shared" si="3"/>
        <v>48121</v>
      </c>
      <c r="DU3" s="43">
        <f t="shared" si="3"/>
        <v>48152</v>
      </c>
      <c r="DV3" s="43">
        <f t="shared" si="3"/>
        <v>48182</v>
      </c>
      <c r="DW3" s="43">
        <f t="shared" si="3"/>
        <v>48213</v>
      </c>
      <c r="DX3" s="43">
        <f t="shared" si="3"/>
        <v>48244</v>
      </c>
      <c r="DY3" s="43">
        <f t="shared" si="3"/>
        <v>48273</v>
      </c>
      <c r="DZ3" s="43">
        <f t="shared" si="3"/>
        <v>48304</v>
      </c>
      <c r="EA3" s="43">
        <f t="shared" si="3"/>
        <v>48334</v>
      </c>
      <c r="EB3" s="43">
        <f t="shared" ref="EB3:EQ3" si="4">EOMONTH(EA3,1)</f>
        <v>48365</v>
      </c>
      <c r="EC3" s="43">
        <f t="shared" si="4"/>
        <v>48395</v>
      </c>
      <c r="ED3" s="43">
        <f t="shared" si="4"/>
        <v>48426</v>
      </c>
      <c r="EE3" s="43">
        <f t="shared" si="4"/>
        <v>48457</v>
      </c>
      <c r="EF3" s="43">
        <f t="shared" si="4"/>
        <v>48487</v>
      </c>
      <c r="EG3" s="43">
        <f t="shared" si="4"/>
        <v>48518</v>
      </c>
      <c r="EH3" s="43">
        <f t="shared" si="4"/>
        <v>48548</v>
      </c>
      <c r="EI3" s="43">
        <f t="shared" si="4"/>
        <v>48579</v>
      </c>
      <c r="EJ3" s="43">
        <f t="shared" si="4"/>
        <v>48610</v>
      </c>
      <c r="EK3" s="43">
        <f t="shared" si="4"/>
        <v>48638</v>
      </c>
      <c r="EL3" s="43">
        <f t="shared" si="4"/>
        <v>48669</v>
      </c>
      <c r="EM3" s="43">
        <f t="shared" si="4"/>
        <v>48699</v>
      </c>
      <c r="EN3" s="43">
        <f t="shared" si="4"/>
        <v>48730</v>
      </c>
      <c r="EO3" s="43">
        <f t="shared" si="4"/>
        <v>48760</v>
      </c>
      <c r="EP3" s="43">
        <f t="shared" si="4"/>
        <v>48791</v>
      </c>
      <c r="EQ3" s="43">
        <f t="shared" si="4"/>
        <v>48822</v>
      </c>
    </row>
    <row r="4" spans="1:147" s="56" customFormat="1" x14ac:dyDescent="0.3">
      <c r="A4" s="41" t="s">
        <v>128</v>
      </c>
      <c r="B4" s="42">
        <v>7</v>
      </c>
      <c r="C4" s="200">
        <v>66464</v>
      </c>
      <c r="D4" s="200">
        <f t="shared" ref="D4:AI4" si="5">C4</f>
        <v>66464</v>
      </c>
      <c r="E4" s="200">
        <f t="shared" si="5"/>
        <v>66464</v>
      </c>
      <c r="F4" s="200">
        <f t="shared" si="5"/>
        <v>66464</v>
      </c>
      <c r="G4" s="200">
        <f t="shared" si="5"/>
        <v>66464</v>
      </c>
      <c r="H4" s="200">
        <f t="shared" si="5"/>
        <v>66464</v>
      </c>
      <c r="I4" s="200">
        <f t="shared" si="5"/>
        <v>66464</v>
      </c>
      <c r="J4" s="200">
        <f t="shared" si="5"/>
        <v>66464</v>
      </c>
      <c r="K4" s="200">
        <f t="shared" si="5"/>
        <v>66464</v>
      </c>
      <c r="L4" s="200">
        <f t="shared" si="5"/>
        <v>66464</v>
      </c>
      <c r="M4" s="200">
        <f t="shared" si="5"/>
        <v>66464</v>
      </c>
      <c r="N4" s="200">
        <f t="shared" si="5"/>
        <v>66464</v>
      </c>
      <c r="O4" s="200">
        <f t="shared" si="5"/>
        <v>66464</v>
      </c>
      <c r="P4" s="200">
        <f t="shared" si="5"/>
        <v>66464</v>
      </c>
      <c r="Q4" s="200">
        <f t="shared" si="5"/>
        <v>66464</v>
      </c>
      <c r="R4" s="200">
        <f t="shared" si="5"/>
        <v>66464</v>
      </c>
      <c r="S4" s="200">
        <f t="shared" si="5"/>
        <v>66464</v>
      </c>
      <c r="T4" s="200">
        <f t="shared" si="5"/>
        <v>66464</v>
      </c>
      <c r="U4" s="200">
        <f t="shared" si="5"/>
        <v>66464</v>
      </c>
      <c r="V4" s="200">
        <f t="shared" si="5"/>
        <v>66464</v>
      </c>
      <c r="W4" s="200">
        <f t="shared" si="5"/>
        <v>66464</v>
      </c>
      <c r="X4" s="200">
        <f t="shared" si="5"/>
        <v>66464</v>
      </c>
      <c r="Y4" s="200">
        <f t="shared" si="5"/>
        <v>66464</v>
      </c>
      <c r="Z4" s="200">
        <f t="shared" si="5"/>
        <v>66464</v>
      </c>
      <c r="AA4" s="200">
        <f t="shared" si="5"/>
        <v>66464</v>
      </c>
      <c r="AB4" s="200">
        <f t="shared" si="5"/>
        <v>66464</v>
      </c>
      <c r="AC4" s="200">
        <f t="shared" si="5"/>
        <v>66464</v>
      </c>
      <c r="AD4" s="200">
        <f t="shared" si="5"/>
        <v>66464</v>
      </c>
      <c r="AE4" s="200">
        <f t="shared" si="5"/>
        <v>66464</v>
      </c>
      <c r="AF4" s="200">
        <f t="shared" si="5"/>
        <v>66464</v>
      </c>
      <c r="AG4" s="200">
        <f t="shared" si="5"/>
        <v>66464</v>
      </c>
      <c r="AH4" s="200">
        <f t="shared" si="5"/>
        <v>66464</v>
      </c>
      <c r="AI4" s="200">
        <f t="shared" si="5"/>
        <v>66464</v>
      </c>
      <c r="AJ4" s="200">
        <f t="shared" ref="AJ4:BO4" si="6">AI4</f>
        <v>66464</v>
      </c>
      <c r="AK4" s="200">
        <f t="shared" si="6"/>
        <v>66464</v>
      </c>
      <c r="AL4" s="200">
        <f t="shared" si="6"/>
        <v>66464</v>
      </c>
      <c r="AM4" s="200">
        <f t="shared" si="6"/>
        <v>66464</v>
      </c>
      <c r="AN4" s="200">
        <f t="shared" si="6"/>
        <v>66464</v>
      </c>
      <c r="AO4" s="200">
        <f t="shared" si="6"/>
        <v>66464</v>
      </c>
      <c r="AP4" s="200">
        <f t="shared" si="6"/>
        <v>66464</v>
      </c>
      <c r="AQ4" s="200">
        <f t="shared" si="6"/>
        <v>66464</v>
      </c>
      <c r="AR4" s="201">
        <f t="shared" si="6"/>
        <v>66464</v>
      </c>
      <c r="AS4" s="201">
        <f t="shared" si="6"/>
        <v>66464</v>
      </c>
      <c r="AT4" s="201">
        <f t="shared" si="6"/>
        <v>66464</v>
      </c>
      <c r="AU4" s="201">
        <f t="shared" si="6"/>
        <v>66464</v>
      </c>
      <c r="AV4" s="201">
        <f t="shared" si="6"/>
        <v>66464</v>
      </c>
      <c r="AW4" s="201">
        <f t="shared" si="6"/>
        <v>66464</v>
      </c>
      <c r="AX4" s="201">
        <f t="shared" si="6"/>
        <v>66464</v>
      </c>
      <c r="AY4" s="201">
        <f t="shared" si="6"/>
        <v>66464</v>
      </c>
      <c r="AZ4" s="201">
        <f t="shared" si="6"/>
        <v>66464</v>
      </c>
      <c r="BA4" s="201">
        <f t="shared" si="6"/>
        <v>66464</v>
      </c>
      <c r="BB4" s="201">
        <f t="shared" si="6"/>
        <v>66464</v>
      </c>
      <c r="BC4" s="201">
        <f t="shared" si="6"/>
        <v>66464</v>
      </c>
      <c r="BD4" s="200">
        <f t="shared" si="6"/>
        <v>66464</v>
      </c>
      <c r="BE4" s="200">
        <f t="shared" si="6"/>
        <v>66464</v>
      </c>
      <c r="BF4" s="200">
        <f t="shared" si="6"/>
        <v>66464</v>
      </c>
      <c r="BG4" s="200">
        <f t="shared" si="6"/>
        <v>66464</v>
      </c>
      <c r="BH4" s="200">
        <f t="shared" si="6"/>
        <v>66464</v>
      </c>
      <c r="BI4" s="200">
        <f t="shared" si="6"/>
        <v>66464</v>
      </c>
      <c r="BJ4" s="200">
        <f t="shared" si="6"/>
        <v>66464</v>
      </c>
      <c r="BK4" s="200">
        <f t="shared" si="6"/>
        <v>66464</v>
      </c>
      <c r="BL4" s="200">
        <f t="shared" si="6"/>
        <v>66464</v>
      </c>
      <c r="BM4" s="200">
        <f t="shared" si="6"/>
        <v>66464</v>
      </c>
      <c r="BN4" s="200">
        <f t="shared" si="6"/>
        <v>66464</v>
      </c>
      <c r="BO4" s="200">
        <f t="shared" si="6"/>
        <v>66464</v>
      </c>
      <c r="BP4" s="200">
        <f t="shared" ref="BP4:CU4" si="7">BO4</f>
        <v>66464</v>
      </c>
      <c r="BQ4" s="200">
        <f t="shared" si="7"/>
        <v>66464</v>
      </c>
      <c r="BR4" s="200">
        <f t="shared" si="7"/>
        <v>66464</v>
      </c>
      <c r="BS4" s="200">
        <f t="shared" si="7"/>
        <v>66464</v>
      </c>
      <c r="BT4" s="200">
        <f t="shared" si="7"/>
        <v>66464</v>
      </c>
      <c r="BU4" s="200">
        <f t="shared" si="7"/>
        <v>66464</v>
      </c>
      <c r="BV4" s="200">
        <f t="shared" si="7"/>
        <v>66464</v>
      </c>
      <c r="BW4" s="200">
        <f t="shared" si="7"/>
        <v>66464</v>
      </c>
      <c r="BX4" s="200">
        <f t="shared" si="7"/>
        <v>66464</v>
      </c>
      <c r="BY4" s="200">
        <f t="shared" si="7"/>
        <v>66464</v>
      </c>
      <c r="BZ4" s="200">
        <f t="shared" si="7"/>
        <v>66464</v>
      </c>
      <c r="CA4" s="200">
        <f t="shared" si="7"/>
        <v>66464</v>
      </c>
      <c r="CB4" s="200">
        <f t="shared" si="7"/>
        <v>66464</v>
      </c>
      <c r="CC4" s="200">
        <f t="shared" si="7"/>
        <v>66464</v>
      </c>
      <c r="CD4" s="200">
        <f t="shared" si="7"/>
        <v>66464</v>
      </c>
      <c r="CE4" s="200">
        <f t="shared" si="7"/>
        <v>66464</v>
      </c>
      <c r="CF4" s="200">
        <f t="shared" si="7"/>
        <v>66464</v>
      </c>
      <c r="CG4" s="200">
        <f t="shared" si="7"/>
        <v>66464</v>
      </c>
      <c r="CH4" s="200">
        <f t="shared" si="7"/>
        <v>66464</v>
      </c>
      <c r="CI4" s="200">
        <f t="shared" si="7"/>
        <v>66464</v>
      </c>
      <c r="CJ4" s="200">
        <f t="shared" si="7"/>
        <v>66464</v>
      </c>
      <c r="CK4" s="200">
        <f t="shared" si="7"/>
        <v>66464</v>
      </c>
      <c r="CL4" s="200">
        <f t="shared" si="7"/>
        <v>66464</v>
      </c>
      <c r="CM4" s="200">
        <f t="shared" si="7"/>
        <v>66464</v>
      </c>
      <c r="CN4" s="200">
        <f t="shared" si="7"/>
        <v>66464</v>
      </c>
      <c r="CO4" s="200">
        <f t="shared" si="7"/>
        <v>66464</v>
      </c>
      <c r="CP4" s="200">
        <f t="shared" si="7"/>
        <v>66464</v>
      </c>
      <c r="CQ4" s="200">
        <f t="shared" si="7"/>
        <v>66464</v>
      </c>
      <c r="CR4" s="200">
        <f t="shared" si="7"/>
        <v>66464</v>
      </c>
      <c r="CS4" s="200">
        <f t="shared" si="7"/>
        <v>66464</v>
      </c>
      <c r="CT4" s="200">
        <f t="shared" si="7"/>
        <v>66464</v>
      </c>
      <c r="CU4" s="200">
        <f t="shared" si="7"/>
        <v>66464</v>
      </c>
      <c r="CV4" s="200">
        <f t="shared" ref="CV4:EA4" si="8">CU4</f>
        <v>66464</v>
      </c>
      <c r="CW4" s="200">
        <f t="shared" si="8"/>
        <v>66464</v>
      </c>
      <c r="CX4" s="200">
        <f t="shared" si="8"/>
        <v>66464</v>
      </c>
      <c r="CY4" s="200">
        <f t="shared" si="8"/>
        <v>66464</v>
      </c>
      <c r="CZ4" s="200">
        <f t="shared" si="8"/>
        <v>66464</v>
      </c>
      <c r="DA4" s="200">
        <f t="shared" si="8"/>
        <v>66464</v>
      </c>
      <c r="DB4" s="200">
        <f t="shared" si="8"/>
        <v>66464</v>
      </c>
      <c r="DC4" s="200">
        <f t="shared" si="8"/>
        <v>66464</v>
      </c>
      <c r="DD4" s="200">
        <f t="shared" si="8"/>
        <v>66464</v>
      </c>
      <c r="DE4" s="200">
        <f t="shared" si="8"/>
        <v>66464</v>
      </c>
      <c r="DF4" s="200">
        <f t="shared" si="8"/>
        <v>66464</v>
      </c>
      <c r="DG4" s="200">
        <f t="shared" si="8"/>
        <v>66464</v>
      </c>
      <c r="DH4" s="200">
        <f t="shared" si="8"/>
        <v>66464</v>
      </c>
      <c r="DI4" s="200">
        <f t="shared" si="8"/>
        <v>66464</v>
      </c>
      <c r="DJ4" s="200">
        <f t="shared" si="8"/>
        <v>66464</v>
      </c>
      <c r="DK4" s="200">
        <f t="shared" si="8"/>
        <v>66464</v>
      </c>
      <c r="DL4" s="200">
        <f t="shared" si="8"/>
        <v>66464</v>
      </c>
      <c r="DM4" s="200">
        <f t="shared" si="8"/>
        <v>66464</v>
      </c>
      <c r="DN4" s="200">
        <f t="shared" si="8"/>
        <v>66464</v>
      </c>
      <c r="DO4" s="200">
        <f t="shared" si="8"/>
        <v>66464</v>
      </c>
      <c r="DP4" s="200">
        <f t="shared" si="8"/>
        <v>66464</v>
      </c>
      <c r="DQ4" s="200">
        <f t="shared" si="8"/>
        <v>66464</v>
      </c>
      <c r="DR4" s="200">
        <f t="shared" si="8"/>
        <v>66464</v>
      </c>
      <c r="DS4" s="200">
        <f t="shared" si="8"/>
        <v>66464</v>
      </c>
      <c r="DT4" s="200">
        <f t="shared" si="8"/>
        <v>66464</v>
      </c>
      <c r="DU4" s="200">
        <f t="shared" si="8"/>
        <v>66464</v>
      </c>
      <c r="DV4" s="200">
        <f t="shared" si="8"/>
        <v>66464</v>
      </c>
      <c r="DW4" s="200">
        <f t="shared" si="8"/>
        <v>66464</v>
      </c>
      <c r="DX4" s="200">
        <f t="shared" si="8"/>
        <v>66464</v>
      </c>
      <c r="DY4" s="200">
        <f t="shared" si="8"/>
        <v>66464</v>
      </c>
      <c r="DZ4" s="200">
        <f t="shared" si="8"/>
        <v>66464</v>
      </c>
      <c r="EA4" s="200">
        <f t="shared" si="8"/>
        <v>66464</v>
      </c>
      <c r="EB4" s="200">
        <f t="shared" ref="EB4:EQ4" si="9">EA4</f>
        <v>66464</v>
      </c>
      <c r="EC4" s="200">
        <f t="shared" si="9"/>
        <v>66464</v>
      </c>
      <c r="ED4" s="200">
        <f t="shared" si="9"/>
        <v>66464</v>
      </c>
      <c r="EE4" s="200">
        <f t="shared" si="9"/>
        <v>66464</v>
      </c>
      <c r="EF4" s="200">
        <f t="shared" si="9"/>
        <v>66464</v>
      </c>
      <c r="EG4" s="200">
        <f t="shared" si="9"/>
        <v>66464</v>
      </c>
      <c r="EH4" s="200">
        <f t="shared" si="9"/>
        <v>66464</v>
      </c>
      <c r="EI4" s="200">
        <f t="shared" si="9"/>
        <v>66464</v>
      </c>
      <c r="EJ4" s="200">
        <f t="shared" si="9"/>
        <v>66464</v>
      </c>
      <c r="EK4" s="200">
        <f t="shared" si="9"/>
        <v>66464</v>
      </c>
      <c r="EL4" s="200">
        <f t="shared" si="9"/>
        <v>66464</v>
      </c>
      <c r="EM4" s="200">
        <f t="shared" si="9"/>
        <v>66464</v>
      </c>
      <c r="EN4" s="200">
        <f t="shared" si="9"/>
        <v>66464</v>
      </c>
      <c r="EO4" s="200">
        <f t="shared" si="9"/>
        <v>66464</v>
      </c>
      <c r="EP4" s="200">
        <f t="shared" si="9"/>
        <v>66464</v>
      </c>
      <c r="EQ4" s="200">
        <f t="shared" si="9"/>
        <v>66464</v>
      </c>
    </row>
    <row r="5" spans="1:147" s="56" customFormat="1" x14ac:dyDescent="0.3">
      <c r="A5" s="207" t="s">
        <v>129</v>
      </c>
      <c r="B5" s="42">
        <v>7</v>
      </c>
      <c r="C5" s="200">
        <v>65000</v>
      </c>
      <c r="D5" s="200">
        <f t="shared" ref="D5:AJ5" si="10">C5</f>
        <v>65000</v>
      </c>
      <c r="E5" s="200">
        <f t="shared" si="10"/>
        <v>65000</v>
      </c>
      <c r="F5" s="200">
        <f t="shared" si="10"/>
        <v>65000</v>
      </c>
      <c r="G5" s="200">
        <f t="shared" si="10"/>
        <v>65000</v>
      </c>
      <c r="H5" s="200">
        <f t="shared" si="10"/>
        <v>65000</v>
      </c>
      <c r="I5" s="200">
        <f t="shared" si="10"/>
        <v>65000</v>
      </c>
      <c r="J5" s="200">
        <f t="shared" si="10"/>
        <v>65000</v>
      </c>
      <c r="K5" s="200">
        <f t="shared" si="10"/>
        <v>65000</v>
      </c>
      <c r="L5" s="200">
        <f t="shared" si="10"/>
        <v>65000</v>
      </c>
      <c r="M5" s="200">
        <f t="shared" si="10"/>
        <v>65000</v>
      </c>
      <c r="N5" s="200">
        <f t="shared" si="10"/>
        <v>65000</v>
      </c>
      <c r="O5" s="200">
        <f t="shared" si="10"/>
        <v>65000</v>
      </c>
      <c r="P5" s="200">
        <f t="shared" si="10"/>
        <v>65000</v>
      </c>
      <c r="Q5" s="200">
        <f t="shared" si="10"/>
        <v>65000</v>
      </c>
      <c r="R5" s="200">
        <f t="shared" si="10"/>
        <v>65000</v>
      </c>
      <c r="S5" s="200">
        <f t="shared" si="10"/>
        <v>65000</v>
      </c>
      <c r="T5" s="200">
        <f t="shared" si="10"/>
        <v>65000</v>
      </c>
      <c r="U5" s="200">
        <f t="shared" si="10"/>
        <v>65000</v>
      </c>
      <c r="V5" s="200">
        <f t="shared" si="10"/>
        <v>65000</v>
      </c>
      <c r="W5" s="200">
        <f t="shared" si="10"/>
        <v>65000</v>
      </c>
      <c r="X5" s="200">
        <f t="shared" si="10"/>
        <v>65000</v>
      </c>
      <c r="Y5" s="200">
        <f t="shared" si="10"/>
        <v>65000</v>
      </c>
      <c r="Z5" s="200">
        <f t="shared" si="10"/>
        <v>65000</v>
      </c>
      <c r="AA5" s="200">
        <f t="shared" si="10"/>
        <v>65000</v>
      </c>
      <c r="AB5" s="200">
        <f t="shared" si="10"/>
        <v>65000</v>
      </c>
      <c r="AC5" s="200">
        <f t="shared" si="10"/>
        <v>65000</v>
      </c>
      <c r="AD5" s="200">
        <f t="shared" si="10"/>
        <v>65000</v>
      </c>
      <c r="AE5" s="200">
        <f t="shared" si="10"/>
        <v>65000</v>
      </c>
      <c r="AF5" s="200">
        <f t="shared" si="10"/>
        <v>65000</v>
      </c>
      <c r="AG5" s="200">
        <f t="shared" si="10"/>
        <v>65000</v>
      </c>
      <c r="AH5" s="200">
        <f t="shared" si="10"/>
        <v>65000</v>
      </c>
      <c r="AI5" s="200">
        <f t="shared" si="10"/>
        <v>65000</v>
      </c>
      <c r="AJ5" s="200">
        <f t="shared" si="10"/>
        <v>65000</v>
      </c>
      <c r="AK5" s="200"/>
      <c r="AL5" s="200"/>
      <c r="AM5" s="200"/>
      <c r="AN5" s="200"/>
      <c r="AO5" s="200"/>
      <c r="AP5" s="200"/>
      <c r="AQ5" s="200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0"/>
      <c r="BE5" s="200"/>
      <c r="BF5" s="200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  <c r="BT5" s="200"/>
      <c r="BU5" s="200"/>
      <c r="BV5" s="200"/>
      <c r="BW5" s="200"/>
      <c r="BX5" s="200"/>
      <c r="BY5" s="200"/>
      <c r="BZ5" s="200"/>
      <c r="CA5" s="200"/>
      <c r="CB5" s="200"/>
      <c r="CC5" s="200"/>
      <c r="CD5" s="200"/>
      <c r="CE5" s="200"/>
      <c r="CF5" s="200"/>
      <c r="CG5" s="200"/>
      <c r="CH5" s="200"/>
      <c r="CI5" s="200"/>
      <c r="CJ5" s="200"/>
      <c r="CK5" s="200"/>
      <c r="CL5" s="200"/>
      <c r="CM5" s="200"/>
      <c r="CN5" s="200"/>
      <c r="CO5" s="200"/>
      <c r="CP5" s="200"/>
      <c r="CQ5" s="200"/>
      <c r="CR5" s="200"/>
      <c r="CS5" s="200"/>
      <c r="CT5" s="200"/>
      <c r="CU5" s="200"/>
      <c r="CV5" s="200"/>
      <c r="CW5" s="200"/>
      <c r="CX5" s="200"/>
      <c r="CY5" s="200"/>
      <c r="CZ5" s="200"/>
      <c r="DA5" s="200"/>
      <c r="DB5" s="200"/>
      <c r="DC5" s="200"/>
      <c r="DD5" s="200"/>
      <c r="DE5" s="200"/>
      <c r="DF5" s="200"/>
      <c r="DG5" s="200"/>
      <c r="DH5" s="200"/>
      <c r="DI5" s="200"/>
      <c r="DJ5" s="200"/>
      <c r="DK5" s="200"/>
      <c r="DL5" s="200"/>
      <c r="DM5" s="200"/>
      <c r="DN5" s="200"/>
      <c r="DO5" s="200"/>
      <c r="DP5" s="200"/>
      <c r="DQ5" s="200"/>
      <c r="DR5" s="200"/>
      <c r="DS5" s="200"/>
      <c r="DT5" s="200"/>
      <c r="DU5" s="200"/>
      <c r="DV5" s="200"/>
      <c r="DW5" s="200"/>
      <c r="DX5" s="200"/>
      <c r="DY5" s="200"/>
      <c r="DZ5" s="200"/>
      <c r="EA5" s="200"/>
      <c r="EB5" s="200"/>
      <c r="EC5" s="200"/>
      <c r="ED5" s="200"/>
      <c r="EE5" s="200"/>
      <c r="EF5" s="200"/>
      <c r="EG5" s="200"/>
      <c r="EH5" s="200"/>
      <c r="EI5" s="200"/>
      <c r="EJ5" s="200"/>
      <c r="EK5" s="200"/>
      <c r="EL5" s="200"/>
      <c r="EM5" s="200"/>
      <c r="EN5" s="200"/>
      <c r="EO5" s="200"/>
      <c r="EP5" s="200"/>
      <c r="EQ5" s="200"/>
    </row>
    <row r="6" spans="1:147" x14ac:dyDescent="0.3">
      <c r="A6" s="41" t="s">
        <v>130</v>
      </c>
      <c r="B6" s="42">
        <v>7</v>
      </c>
      <c r="C6" s="200"/>
      <c r="D6" s="200"/>
      <c r="E6" s="200"/>
      <c r="F6" s="200"/>
      <c r="G6" s="200"/>
      <c r="H6" s="200">
        <v>150000</v>
      </c>
      <c r="I6" s="200">
        <f t="shared" ref="I6:T6" si="11">H6</f>
        <v>150000</v>
      </c>
      <c r="J6" s="200">
        <f t="shared" si="11"/>
        <v>150000</v>
      </c>
      <c r="K6" s="200">
        <f t="shared" si="11"/>
        <v>150000</v>
      </c>
      <c r="L6" s="200">
        <f t="shared" si="11"/>
        <v>150000</v>
      </c>
      <c r="M6" s="200">
        <f t="shared" si="11"/>
        <v>150000</v>
      </c>
      <c r="N6" s="200">
        <f t="shared" si="11"/>
        <v>150000</v>
      </c>
      <c r="O6" s="200">
        <f t="shared" si="11"/>
        <v>150000</v>
      </c>
      <c r="P6" s="200">
        <f t="shared" si="11"/>
        <v>150000</v>
      </c>
      <c r="Q6" s="200">
        <f t="shared" si="11"/>
        <v>150000</v>
      </c>
      <c r="R6" s="200">
        <f t="shared" si="11"/>
        <v>150000</v>
      </c>
      <c r="S6" s="200">
        <f t="shared" si="11"/>
        <v>150000</v>
      </c>
      <c r="T6" s="200">
        <f t="shared" si="11"/>
        <v>150000</v>
      </c>
      <c r="U6" s="200">
        <f>T6-32069</f>
        <v>117931</v>
      </c>
      <c r="V6" s="200">
        <f t="shared" ref="V6:W8" si="12">U6</f>
        <v>117931</v>
      </c>
      <c r="W6" s="200">
        <f t="shared" si="12"/>
        <v>117931</v>
      </c>
      <c r="X6" s="200">
        <f>W6-27648</f>
        <v>90283</v>
      </c>
      <c r="Y6" s="200">
        <f t="shared" ref="Y6:BD6" si="13">X6</f>
        <v>90283</v>
      </c>
      <c r="Z6" s="200">
        <f t="shared" si="13"/>
        <v>90283</v>
      </c>
      <c r="AA6" s="200">
        <f t="shared" si="13"/>
        <v>90283</v>
      </c>
      <c r="AB6" s="200">
        <f t="shared" si="13"/>
        <v>90283</v>
      </c>
      <c r="AC6" s="200">
        <f t="shared" si="13"/>
        <v>90283</v>
      </c>
      <c r="AD6" s="200">
        <f t="shared" si="13"/>
        <v>90283</v>
      </c>
      <c r="AE6" s="200">
        <f t="shared" si="13"/>
        <v>90283</v>
      </c>
      <c r="AF6" s="200">
        <f t="shared" si="13"/>
        <v>90283</v>
      </c>
      <c r="AG6" s="200">
        <f t="shared" si="13"/>
        <v>90283</v>
      </c>
      <c r="AH6" s="200">
        <f t="shared" si="13"/>
        <v>90283</v>
      </c>
      <c r="AI6" s="200">
        <f t="shared" si="13"/>
        <v>90283</v>
      </c>
      <c r="AJ6" s="200">
        <f t="shared" si="13"/>
        <v>90283</v>
      </c>
      <c r="AK6" s="200">
        <f t="shared" si="13"/>
        <v>90283</v>
      </c>
      <c r="AL6" s="200">
        <f t="shared" si="13"/>
        <v>90283</v>
      </c>
      <c r="AM6" s="200">
        <f t="shared" si="13"/>
        <v>90283</v>
      </c>
      <c r="AN6" s="200">
        <f t="shared" si="13"/>
        <v>90283</v>
      </c>
      <c r="AO6" s="200">
        <f t="shared" si="13"/>
        <v>90283</v>
      </c>
      <c r="AP6" s="200">
        <f>AO6-22063.31</f>
        <v>68219.69</v>
      </c>
      <c r="AQ6" s="200">
        <f t="shared" si="13"/>
        <v>68219.69</v>
      </c>
      <c r="AR6" s="201">
        <f t="shared" si="13"/>
        <v>68219.69</v>
      </c>
      <c r="AS6" s="201">
        <f t="shared" si="13"/>
        <v>68219.69</v>
      </c>
      <c r="AT6" s="201">
        <f t="shared" si="13"/>
        <v>68219.69</v>
      </c>
      <c r="AU6" s="201">
        <f t="shared" si="13"/>
        <v>68219.69</v>
      </c>
      <c r="AV6" s="201">
        <f t="shared" si="13"/>
        <v>68219.69</v>
      </c>
      <c r="AW6" s="201">
        <f t="shared" si="13"/>
        <v>68219.69</v>
      </c>
      <c r="AX6" s="201">
        <f t="shared" si="13"/>
        <v>68219.69</v>
      </c>
      <c r="AY6" s="201">
        <f t="shared" si="13"/>
        <v>68219.69</v>
      </c>
      <c r="AZ6" s="201">
        <f t="shared" si="13"/>
        <v>68219.69</v>
      </c>
      <c r="BA6" s="201">
        <f t="shared" si="13"/>
        <v>68219.69</v>
      </c>
      <c r="BB6" s="201">
        <f t="shared" si="13"/>
        <v>68219.69</v>
      </c>
      <c r="BC6" s="201">
        <f t="shared" si="13"/>
        <v>68219.69</v>
      </c>
      <c r="BD6" s="200">
        <f t="shared" si="13"/>
        <v>68219.69</v>
      </c>
      <c r="BE6" s="200">
        <f t="shared" ref="BE6:CJ6" si="14">BD6</f>
        <v>68219.69</v>
      </c>
      <c r="BF6" s="200">
        <f t="shared" si="14"/>
        <v>68219.69</v>
      </c>
      <c r="BG6" s="200">
        <f t="shared" si="14"/>
        <v>68219.69</v>
      </c>
      <c r="BH6" s="200">
        <f t="shared" si="14"/>
        <v>68219.69</v>
      </c>
      <c r="BI6" s="200">
        <f t="shared" si="14"/>
        <v>68219.69</v>
      </c>
      <c r="BJ6" s="200">
        <f t="shared" si="14"/>
        <v>68219.69</v>
      </c>
      <c r="BK6" s="200">
        <f t="shared" si="14"/>
        <v>68219.69</v>
      </c>
      <c r="BL6" s="200">
        <f t="shared" si="14"/>
        <v>68219.69</v>
      </c>
      <c r="BM6" s="200">
        <f t="shared" si="14"/>
        <v>68219.69</v>
      </c>
      <c r="BN6" s="200">
        <f t="shared" si="14"/>
        <v>68219.69</v>
      </c>
      <c r="BO6" s="200">
        <f t="shared" si="14"/>
        <v>68219.69</v>
      </c>
      <c r="BP6" s="200">
        <f t="shared" si="14"/>
        <v>68219.69</v>
      </c>
      <c r="BQ6" s="200">
        <f t="shared" si="14"/>
        <v>68219.69</v>
      </c>
      <c r="BR6" s="200">
        <f t="shared" si="14"/>
        <v>68219.69</v>
      </c>
      <c r="BS6" s="200">
        <f t="shared" si="14"/>
        <v>68219.69</v>
      </c>
      <c r="BT6" s="200">
        <f t="shared" si="14"/>
        <v>68219.69</v>
      </c>
      <c r="BU6" s="200">
        <f t="shared" si="14"/>
        <v>68219.69</v>
      </c>
      <c r="BV6" s="200">
        <f t="shared" si="14"/>
        <v>68219.69</v>
      </c>
      <c r="BW6" s="200">
        <f t="shared" si="14"/>
        <v>68219.69</v>
      </c>
      <c r="BX6" s="200">
        <f t="shared" si="14"/>
        <v>68219.69</v>
      </c>
      <c r="BY6" s="200">
        <f t="shared" si="14"/>
        <v>68219.69</v>
      </c>
      <c r="BZ6" s="200">
        <f t="shared" si="14"/>
        <v>68219.69</v>
      </c>
      <c r="CA6" s="200">
        <f t="shared" si="14"/>
        <v>68219.69</v>
      </c>
      <c r="CB6" s="200">
        <f t="shared" si="14"/>
        <v>68219.69</v>
      </c>
      <c r="CC6" s="200">
        <f t="shared" si="14"/>
        <v>68219.69</v>
      </c>
      <c r="CD6" s="200">
        <f t="shared" si="14"/>
        <v>68219.69</v>
      </c>
      <c r="CE6" s="200">
        <f t="shared" si="14"/>
        <v>68219.69</v>
      </c>
      <c r="CF6" s="200">
        <f t="shared" si="14"/>
        <v>68219.69</v>
      </c>
      <c r="CG6" s="200">
        <f t="shared" si="14"/>
        <v>68219.69</v>
      </c>
      <c r="CH6" s="200">
        <f t="shared" si="14"/>
        <v>68219.69</v>
      </c>
      <c r="CI6" s="200">
        <f t="shared" si="14"/>
        <v>68219.69</v>
      </c>
      <c r="CJ6" s="200">
        <f t="shared" si="14"/>
        <v>68219.69</v>
      </c>
      <c r="CK6" s="200">
        <f t="shared" ref="CK6:DP6" si="15">CJ6</f>
        <v>68219.69</v>
      </c>
      <c r="CL6" s="200">
        <f t="shared" si="15"/>
        <v>68219.69</v>
      </c>
      <c r="CM6" s="200">
        <f t="shared" si="15"/>
        <v>68219.69</v>
      </c>
      <c r="CN6" s="200">
        <f t="shared" si="15"/>
        <v>68219.69</v>
      </c>
      <c r="CO6" s="200">
        <f t="shared" si="15"/>
        <v>68219.69</v>
      </c>
      <c r="CP6" s="200">
        <f t="shared" si="15"/>
        <v>68219.69</v>
      </c>
      <c r="CQ6" s="200">
        <f t="shared" si="15"/>
        <v>68219.69</v>
      </c>
      <c r="CR6" s="200">
        <f t="shared" si="15"/>
        <v>68219.69</v>
      </c>
      <c r="CS6" s="200">
        <f t="shared" si="15"/>
        <v>68219.69</v>
      </c>
      <c r="CT6" s="200">
        <f t="shared" si="15"/>
        <v>68219.69</v>
      </c>
      <c r="CU6" s="200">
        <f t="shared" si="15"/>
        <v>68219.69</v>
      </c>
      <c r="CV6" s="200">
        <f t="shared" si="15"/>
        <v>68219.69</v>
      </c>
      <c r="CW6" s="200">
        <f t="shared" si="15"/>
        <v>68219.69</v>
      </c>
      <c r="CX6" s="200">
        <f t="shared" si="15"/>
        <v>68219.69</v>
      </c>
      <c r="CY6" s="200">
        <f t="shared" si="15"/>
        <v>68219.69</v>
      </c>
      <c r="CZ6" s="200">
        <f t="shared" si="15"/>
        <v>68219.69</v>
      </c>
      <c r="DA6" s="200">
        <f t="shared" si="15"/>
        <v>68219.69</v>
      </c>
      <c r="DB6" s="200">
        <f t="shared" si="15"/>
        <v>68219.69</v>
      </c>
      <c r="DC6" s="200">
        <f t="shared" si="15"/>
        <v>68219.69</v>
      </c>
      <c r="DD6" s="200">
        <f t="shared" si="15"/>
        <v>68219.69</v>
      </c>
      <c r="DE6" s="200">
        <f t="shared" si="15"/>
        <v>68219.69</v>
      </c>
      <c r="DF6" s="200">
        <f t="shared" si="15"/>
        <v>68219.69</v>
      </c>
      <c r="DG6" s="200">
        <f t="shared" si="15"/>
        <v>68219.69</v>
      </c>
      <c r="DH6" s="200">
        <f t="shared" si="15"/>
        <v>68219.69</v>
      </c>
      <c r="DI6" s="200">
        <f t="shared" si="15"/>
        <v>68219.69</v>
      </c>
      <c r="DJ6" s="200">
        <f t="shared" si="15"/>
        <v>68219.69</v>
      </c>
      <c r="DK6" s="200">
        <f t="shared" si="15"/>
        <v>68219.69</v>
      </c>
      <c r="DL6" s="200">
        <f t="shared" si="15"/>
        <v>68219.69</v>
      </c>
      <c r="DM6" s="200">
        <f t="shared" si="15"/>
        <v>68219.69</v>
      </c>
      <c r="DN6" s="200">
        <f t="shared" si="15"/>
        <v>68219.69</v>
      </c>
      <c r="DO6" s="200">
        <f t="shared" si="15"/>
        <v>68219.69</v>
      </c>
      <c r="DP6" s="200">
        <f t="shared" si="15"/>
        <v>68219.69</v>
      </c>
      <c r="DQ6" s="200">
        <f t="shared" ref="DQ6:EQ6" si="16">DP6</f>
        <v>68219.69</v>
      </c>
      <c r="DR6" s="200">
        <f t="shared" si="16"/>
        <v>68219.69</v>
      </c>
      <c r="DS6" s="200">
        <f t="shared" si="16"/>
        <v>68219.69</v>
      </c>
      <c r="DT6" s="200">
        <f t="shared" si="16"/>
        <v>68219.69</v>
      </c>
      <c r="DU6" s="200">
        <f t="shared" si="16"/>
        <v>68219.69</v>
      </c>
      <c r="DV6" s="200">
        <f t="shared" si="16"/>
        <v>68219.69</v>
      </c>
      <c r="DW6" s="200">
        <f t="shared" si="16"/>
        <v>68219.69</v>
      </c>
      <c r="DX6" s="200">
        <f t="shared" si="16"/>
        <v>68219.69</v>
      </c>
      <c r="DY6" s="200">
        <f t="shared" si="16"/>
        <v>68219.69</v>
      </c>
      <c r="DZ6" s="200">
        <f t="shared" si="16"/>
        <v>68219.69</v>
      </c>
      <c r="EA6" s="200">
        <f t="shared" si="16"/>
        <v>68219.69</v>
      </c>
      <c r="EB6" s="200">
        <f t="shared" si="16"/>
        <v>68219.69</v>
      </c>
      <c r="EC6" s="200">
        <f t="shared" si="16"/>
        <v>68219.69</v>
      </c>
      <c r="ED6" s="200">
        <f t="shared" si="16"/>
        <v>68219.69</v>
      </c>
      <c r="EE6" s="200">
        <f t="shared" si="16"/>
        <v>68219.69</v>
      </c>
      <c r="EF6" s="200">
        <f t="shared" si="16"/>
        <v>68219.69</v>
      </c>
      <c r="EG6" s="200">
        <f t="shared" si="16"/>
        <v>68219.69</v>
      </c>
      <c r="EH6" s="200">
        <f t="shared" si="16"/>
        <v>68219.69</v>
      </c>
      <c r="EI6" s="200">
        <f t="shared" si="16"/>
        <v>68219.69</v>
      </c>
      <c r="EJ6" s="200">
        <f t="shared" si="16"/>
        <v>68219.69</v>
      </c>
      <c r="EK6" s="200">
        <f t="shared" si="16"/>
        <v>68219.69</v>
      </c>
      <c r="EL6" s="200">
        <f t="shared" si="16"/>
        <v>68219.69</v>
      </c>
      <c r="EM6" s="200">
        <f t="shared" si="16"/>
        <v>68219.69</v>
      </c>
      <c r="EN6" s="200">
        <f t="shared" si="16"/>
        <v>68219.69</v>
      </c>
      <c r="EO6" s="200">
        <f t="shared" si="16"/>
        <v>68219.69</v>
      </c>
      <c r="EP6" s="200">
        <f t="shared" si="16"/>
        <v>68219.69</v>
      </c>
      <c r="EQ6" s="200">
        <f t="shared" si="16"/>
        <v>68219.69</v>
      </c>
    </row>
    <row r="7" spans="1:147" ht="14.25" customHeight="1" x14ac:dyDescent="0.3">
      <c r="A7" s="41" t="s">
        <v>127</v>
      </c>
      <c r="B7" s="42">
        <v>7</v>
      </c>
      <c r="I7" s="41">
        <v>263992.78000000003</v>
      </c>
      <c r="J7" s="41">
        <f t="shared" ref="J7:U7" si="17">I7</f>
        <v>263992.78000000003</v>
      </c>
      <c r="K7" s="41">
        <f t="shared" si="17"/>
        <v>263992.78000000003</v>
      </c>
      <c r="L7" s="41">
        <f t="shared" si="17"/>
        <v>263992.78000000003</v>
      </c>
      <c r="M7" s="41">
        <f t="shared" si="17"/>
        <v>263992.78000000003</v>
      </c>
      <c r="N7" s="41">
        <f t="shared" si="17"/>
        <v>263992.78000000003</v>
      </c>
      <c r="O7" s="41">
        <f t="shared" si="17"/>
        <v>263992.78000000003</v>
      </c>
      <c r="P7" s="41">
        <f t="shared" si="17"/>
        <v>263992.78000000003</v>
      </c>
      <c r="Q7" s="41">
        <f t="shared" si="17"/>
        <v>263992.78000000003</v>
      </c>
      <c r="R7" s="41">
        <f t="shared" si="17"/>
        <v>263992.78000000003</v>
      </c>
      <c r="S7" s="41">
        <f t="shared" si="17"/>
        <v>263992.78000000003</v>
      </c>
      <c r="T7" s="41">
        <f t="shared" si="17"/>
        <v>263992.78000000003</v>
      </c>
      <c r="U7" s="41">
        <f t="shared" si="17"/>
        <v>263992.78000000003</v>
      </c>
      <c r="V7" s="41">
        <f t="shared" si="12"/>
        <v>263992.78000000003</v>
      </c>
      <c r="W7" s="41">
        <f t="shared" si="12"/>
        <v>263992.78000000003</v>
      </c>
      <c r="X7" s="41">
        <f>W7</f>
        <v>263992.78000000003</v>
      </c>
      <c r="Y7" s="41">
        <f t="shared" ref="Y7:BD7" si="18">X7</f>
        <v>263992.78000000003</v>
      </c>
      <c r="Z7" s="41">
        <f t="shared" si="18"/>
        <v>263992.78000000003</v>
      </c>
      <c r="AA7" s="41">
        <f t="shared" si="18"/>
        <v>263992.78000000003</v>
      </c>
      <c r="AB7" s="41">
        <f t="shared" si="18"/>
        <v>263992.78000000003</v>
      </c>
      <c r="AC7" s="41">
        <f t="shared" si="18"/>
        <v>263992.78000000003</v>
      </c>
      <c r="AD7" s="41">
        <f t="shared" si="18"/>
        <v>263992.78000000003</v>
      </c>
      <c r="AE7" s="41">
        <f t="shared" si="18"/>
        <v>263992.78000000003</v>
      </c>
      <c r="AF7" s="41">
        <f t="shared" si="18"/>
        <v>263992.78000000003</v>
      </c>
      <c r="AG7" s="41">
        <f t="shared" si="18"/>
        <v>263992.78000000003</v>
      </c>
      <c r="AH7" s="41">
        <f t="shared" si="18"/>
        <v>263992.78000000003</v>
      </c>
      <c r="AI7" s="41">
        <f t="shared" si="18"/>
        <v>263992.78000000003</v>
      </c>
      <c r="AJ7" s="41">
        <f t="shared" si="18"/>
        <v>263992.78000000003</v>
      </c>
      <c r="AK7" s="41">
        <f t="shared" si="18"/>
        <v>263992.78000000003</v>
      </c>
      <c r="AL7" s="41">
        <f t="shared" si="18"/>
        <v>263992.78000000003</v>
      </c>
      <c r="AM7" s="200">
        <f t="shared" si="18"/>
        <v>263992.78000000003</v>
      </c>
      <c r="AN7" s="41">
        <f t="shared" si="18"/>
        <v>263992.78000000003</v>
      </c>
      <c r="AO7" s="41">
        <f t="shared" si="18"/>
        <v>263992.78000000003</v>
      </c>
      <c r="AP7" s="41">
        <f t="shared" si="18"/>
        <v>263992.78000000003</v>
      </c>
      <c r="AQ7" s="41">
        <f t="shared" si="18"/>
        <v>263992.78000000003</v>
      </c>
      <c r="AR7" s="198">
        <f t="shared" si="18"/>
        <v>263992.78000000003</v>
      </c>
      <c r="AS7" s="198">
        <f t="shared" si="18"/>
        <v>263992.78000000003</v>
      </c>
      <c r="AT7" s="198">
        <f t="shared" si="18"/>
        <v>263992.78000000003</v>
      </c>
      <c r="AU7" s="198">
        <f t="shared" si="18"/>
        <v>263992.78000000003</v>
      </c>
      <c r="AV7" s="198">
        <f t="shared" si="18"/>
        <v>263992.78000000003</v>
      </c>
      <c r="AW7" s="198">
        <f t="shared" si="18"/>
        <v>263992.78000000003</v>
      </c>
      <c r="AX7" s="198">
        <f t="shared" si="18"/>
        <v>263992.78000000003</v>
      </c>
      <c r="AY7" s="198">
        <f t="shared" si="18"/>
        <v>263992.78000000003</v>
      </c>
      <c r="AZ7" s="198">
        <f t="shared" si="18"/>
        <v>263992.78000000003</v>
      </c>
      <c r="BA7" s="198">
        <f t="shared" si="18"/>
        <v>263992.78000000003</v>
      </c>
      <c r="BB7" s="198">
        <f t="shared" si="18"/>
        <v>263992.78000000003</v>
      </c>
      <c r="BC7" s="198">
        <f t="shared" si="18"/>
        <v>263992.78000000003</v>
      </c>
      <c r="BD7" s="41">
        <f t="shared" si="18"/>
        <v>263992.78000000003</v>
      </c>
      <c r="BE7" s="41">
        <f t="shared" ref="BE7:CJ7" si="19">BD7</f>
        <v>263992.78000000003</v>
      </c>
      <c r="BF7" s="41">
        <f t="shared" si="19"/>
        <v>263992.78000000003</v>
      </c>
      <c r="BG7" s="41">
        <f t="shared" si="19"/>
        <v>263992.78000000003</v>
      </c>
      <c r="BH7" s="41">
        <f t="shared" si="19"/>
        <v>263992.78000000003</v>
      </c>
      <c r="BI7" s="41">
        <f t="shared" si="19"/>
        <v>263992.78000000003</v>
      </c>
      <c r="BJ7" s="41">
        <f t="shared" si="19"/>
        <v>263992.78000000003</v>
      </c>
      <c r="BK7" s="41">
        <f t="shared" si="19"/>
        <v>263992.78000000003</v>
      </c>
      <c r="BL7" s="41">
        <f t="shared" si="19"/>
        <v>263992.78000000003</v>
      </c>
      <c r="BM7" s="41">
        <f t="shared" si="19"/>
        <v>263992.78000000003</v>
      </c>
      <c r="BN7" s="41">
        <f t="shared" si="19"/>
        <v>263992.78000000003</v>
      </c>
      <c r="BO7" s="41">
        <f t="shared" si="19"/>
        <v>263992.78000000003</v>
      </c>
      <c r="BP7" s="41">
        <f t="shared" si="19"/>
        <v>263992.78000000003</v>
      </c>
      <c r="BQ7" s="41">
        <f t="shared" si="19"/>
        <v>263992.78000000003</v>
      </c>
      <c r="BR7" s="41">
        <f t="shared" si="19"/>
        <v>263992.78000000003</v>
      </c>
      <c r="BS7" s="41">
        <f t="shared" si="19"/>
        <v>263992.78000000003</v>
      </c>
      <c r="BT7" s="41">
        <f t="shared" si="19"/>
        <v>263992.78000000003</v>
      </c>
      <c r="BU7" s="41">
        <f t="shared" si="19"/>
        <v>263992.78000000003</v>
      </c>
      <c r="BV7" s="41">
        <f t="shared" si="19"/>
        <v>263992.78000000003</v>
      </c>
      <c r="BW7" s="41">
        <f t="shared" si="19"/>
        <v>263992.78000000003</v>
      </c>
      <c r="BX7" s="41">
        <f t="shared" si="19"/>
        <v>263992.78000000003</v>
      </c>
      <c r="BY7" s="41">
        <f t="shared" si="19"/>
        <v>263992.78000000003</v>
      </c>
      <c r="BZ7" s="41">
        <f t="shared" si="19"/>
        <v>263992.78000000003</v>
      </c>
      <c r="CA7" s="41">
        <f t="shared" si="19"/>
        <v>263992.78000000003</v>
      </c>
      <c r="CB7" s="41">
        <f t="shared" si="19"/>
        <v>263992.78000000003</v>
      </c>
      <c r="CC7" s="41">
        <f t="shared" si="19"/>
        <v>263992.78000000003</v>
      </c>
      <c r="CD7" s="41">
        <f t="shared" si="19"/>
        <v>263992.78000000003</v>
      </c>
      <c r="CE7" s="41">
        <f t="shared" si="19"/>
        <v>263992.78000000003</v>
      </c>
      <c r="CF7" s="41">
        <f t="shared" si="19"/>
        <v>263992.78000000003</v>
      </c>
      <c r="CG7" s="41">
        <f t="shared" si="19"/>
        <v>263992.78000000003</v>
      </c>
      <c r="CH7" s="41">
        <f t="shared" si="19"/>
        <v>263992.78000000003</v>
      </c>
      <c r="CI7" s="41">
        <f t="shared" si="19"/>
        <v>263992.78000000003</v>
      </c>
      <c r="CJ7" s="41">
        <f t="shared" si="19"/>
        <v>263992.78000000003</v>
      </c>
      <c r="CK7" s="41">
        <f t="shared" ref="CK7:DP7" si="20">CJ7</f>
        <v>263992.78000000003</v>
      </c>
      <c r="CL7" s="41">
        <f t="shared" si="20"/>
        <v>263992.78000000003</v>
      </c>
      <c r="CM7" s="41">
        <f t="shared" si="20"/>
        <v>263992.78000000003</v>
      </c>
      <c r="CN7" s="41">
        <f t="shared" si="20"/>
        <v>263992.78000000003</v>
      </c>
      <c r="CO7" s="41">
        <f t="shared" si="20"/>
        <v>263992.78000000003</v>
      </c>
      <c r="CP7" s="41">
        <f t="shared" si="20"/>
        <v>263992.78000000003</v>
      </c>
      <c r="CQ7" s="41">
        <f t="shared" si="20"/>
        <v>263992.78000000003</v>
      </c>
      <c r="CR7" s="41">
        <f t="shared" si="20"/>
        <v>263992.78000000003</v>
      </c>
      <c r="CS7" s="41">
        <f t="shared" si="20"/>
        <v>263992.78000000003</v>
      </c>
      <c r="CT7" s="41">
        <f t="shared" si="20"/>
        <v>263992.78000000003</v>
      </c>
      <c r="CU7" s="41">
        <f t="shared" si="20"/>
        <v>263992.78000000003</v>
      </c>
      <c r="CV7" s="41">
        <f t="shared" si="20"/>
        <v>263992.78000000003</v>
      </c>
      <c r="CW7" s="41">
        <f t="shared" si="20"/>
        <v>263992.78000000003</v>
      </c>
      <c r="CX7" s="41">
        <f t="shared" si="20"/>
        <v>263992.78000000003</v>
      </c>
      <c r="CY7" s="41">
        <f t="shared" si="20"/>
        <v>263992.78000000003</v>
      </c>
      <c r="CZ7" s="41">
        <f t="shared" si="20"/>
        <v>263992.78000000003</v>
      </c>
      <c r="DA7" s="41">
        <f t="shared" si="20"/>
        <v>263992.78000000003</v>
      </c>
      <c r="DB7" s="41">
        <f t="shared" si="20"/>
        <v>263992.78000000003</v>
      </c>
      <c r="DC7" s="41">
        <f t="shared" si="20"/>
        <v>263992.78000000003</v>
      </c>
      <c r="DD7" s="41">
        <f t="shared" si="20"/>
        <v>263992.78000000003</v>
      </c>
      <c r="DE7" s="41">
        <f t="shared" si="20"/>
        <v>263992.78000000003</v>
      </c>
      <c r="DF7" s="41">
        <f t="shared" si="20"/>
        <v>263992.78000000003</v>
      </c>
      <c r="DG7" s="41">
        <f t="shared" si="20"/>
        <v>263992.78000000003</v>
      </c>
      <c r="DH7" s="41">
        <f t="shared" si="20"/>
        <v>263992.78000000003</v>
      </c>
      <c r="DI7" s="41">
        <f t="shared" si="20"/>
        <v>263992.78000000003</v>
      </c>
      <c r="DJ7" s="41">
        <f t="shared" si="20"/>
        <v>263992.78000000003</v>
      </c>
      <c r="DK7" s="41">
        <f t="shared" si="20"/>
        <v>263992.78000000003</v>
      </c>
      <c r="DL7" s="41">
        <f t="shared" si="20"/>
        <v>263992.78000000003</v>
      </c>
      <c r="DM7" s="41">
        <f t="shared" si="20"/>
        <v>263992.78000000003</v>
      </c>
      <c r="DN7" s="41">
        <f t="shared" si="20"/>
        <v>263992.78000000003</v>
      </c>
      <c r="DO7" s="41">
        <f t="shared" si="20"/>
        <v>263992.78000000003</v>
      </c>
      <c r="DP7" s="41">
        <f t="shared" si="20"/>
        <v>263992.78000000003</v>
      </c>
      <c r="DQ7" s="41">
        <f t="shared" ref="DQ7:EQ7" si="21">DP7</f>
        <v>263992.78000000003</v>
      </c>
      <c r="DR7" s="41">
        <f t="shared" si="21"/>
        <v>263992.78000000003</v>
      </c>
      <c r="DS7" s="41">
        <f t="shared" si="21"/>
        <v>263992.78000000003</v>
      </c>
      <c r="DT7" s="41">
        <f t="shared" si="21"/>
        <v>263992.78000000003</v>
      </c>
      <c r="DU7" s="41">
        <f t="shared" si="21"/>
        <v>263992.78000000003</v>
      </c>
      <c r="DV7" s="41">
        <f t="shared" si="21"/>
        <v>263992.78000000003</v>
      </c>
      <c r="DW7" s="41">
        <f t="shared" si="21"/>
        <v>263992.78000000003</v>
      </c>
      <c r="DX7" s="41">
        <f t="shared" si="21"/>
        <v>263992.78000000003</v>
      </c>
      <c r="DY7" s="41">
        <f t="shared" si="21"/>
        <v>263992.78000000003</v>
      </c>
      <c r="DZ7" s="41">
        <f t="shared" si="21"/>
        <v>263992.78000000003</v>
      </c>
      <c r="EA7" s="41">
        <f t="shared" si="21"/>
        <v>263992.78000000003</v>
      </c>
      <c r="EB7" s="41">
        <f t="shared" si="21"/>
        <v>263992.78000000003</v>
      </c>
      <c r="EC7" s="41">
        <f t="shared" si="21"/>
        <v>263992.78000000003</v>
      </c>
      <c r="ED7" s="41">
        <f t="shared" si="21"/>
        <v>263992.78000000003</v>
      </c>
      <c r="EE7" s="41">
        <f t="shared" si="21"/>
        <v>263992.78000000003</v>
      </c>
      <c r="EF7" s="41">
        <f t="shared" si="21"/>
        <v>263992.78000000003</v>
      </c>
      <c r="EG7" s="41">
        <f t="shared" si="21"/>
        <v>263992.78000000003</v>
      </c>
      <c r="EH7" s="41">
        <f t="shared" si="21"/>
        <v>263992.78000000003</v>
      </c>
      <c r="EI7" s="41">
        <f t="shared" si="21"/>
        <v>263992.78000000003</v>
      </c>
      <c r="EJ7" s="41">
        <f t="shared" si="21"/>
        <v>263992.78000000003</v>
      </c>
      <c r="EK7" s="41">
        <f t="shared" si="21"/>
        <v>263992.78000000003</v>
      </c>
      <c r="EL7" s="41">
        <f t="shared" si="21"/>
        <v>263992.78000000003</v>
      </c>
      <c r="EM7" s="41">
        <f t="shared" si="21"/>
        <v>263992.78000000003</v>
      </c>
      <c r="EN7" s="41">
        <f t="shared" si="21"/>
        <v>263992.78000000003</v>
      </c>
      <c r="EO7" s="41">
        <f t="shared" si="21"/>
        <v>263992.78000000003</v>
      </c>
      <c r="EP7" s="41">
        <f t="shared" si="21"/>
        <v>263992.78000000003</v>
      </c>
      <c r="EQ7" s="41">
        <f t="shared" si="21"/>
        <v>263992.78000000003</v>
      </c>
    </row>
    <row r="8" spans="1:147" ht="14.25" customHeight="1" x14ac:dyDescent="0.3">
      <c r="A8" s="41" t="s">
        <v>126</v>
      </c>
      <c r="B8" s="42">
        <v>7</v>
      </c>
      <c r="J8" s="41">
        <v>269900</v>
      </c>
      <c r="K8" s="41">
        <f t="shared" ref="K8:U8" si="22">J8</f>
        <v>269900</v>
      </c>
      <c r="L8" s="41">
        <f t="shared" si="22"/>
        <v>269900</v>
      </c>
      <c r="M8" s="41">
        <f t="shared" si="22"/>
        <v>269900</v>
      </c>
      <c r="N8" s="41">
        <f t="shared" si="22"/>
        <v>269900</v>
      </c>
      <c r="O8" s="41">
        <f t="shared" si="22"/>
        <v>269900</v>
      </c>
      <c r="P8" s="41">
        <f t="shared" si="22"/>
        <v>269900</v>
      </c>
      <c r="Q8" s="41">
        <f t="shared" si="22"/>
        <v>269900</v>
      </c>
      <c r="R8" s="41">
        <f t="shared" si="22"/>
        <v>269900</v>
      </c>
      <c r="S8" s="41">
        <f t="shared" si="22"/>
        <v>269900</v>
      </c>
      <c r="T8" s="41">
        <f t="shared" si="22"/>
        <v>269900</v>
      </c>
      <c r="U8" s="200">
        <f t="shared" si="22"/>
        <v>269900</v>
      </c>
      <c r="V8" s="200">
        <f t="shared" si="12"/>
        <v>269900</v>
      </c>
      <c r="W8" s="200">
        <f t="shared" si="12"/>
        <v>269900</v>
      </c>
      <c r="X8" s="200">
        <f>W8</f>
        <v>269900</v>
      </c>
      <c r="Y8" s="200">
        <f t="shared" ref="Y8:BD8" si="23">X8</f>
        <v>269900</v>
      </c>
      <c r="Z8" s="200">
        <f t="shared" si="23"/>
        <v>269900</v>
      </c>
      <c r="AA8" s="200">
        <f t="shared" si="23"/>
        <v>269900</v>
      </c>
      <c r="AB8" s="200">
        <f t="shared" si="23"/>
        <v>269900</v>
      </c>
      <c r="AC8" s="200">
        <f t="shared" si="23"/>
        <v>269900</v>
      </c>
      <c r="AD8" s="200">
        <f t="shared" si="23"/>
        <v>269900</v>
      </c>
      <c r="AE8" s="200">
        <f t="shared" si="23"/>
        <v>269900</v>
      </c>
      <c r="AF8" s="200">
        <f t="shared" si="23"/>
        <v>269900</v>
      </c>
      <c r="AG8" s="200">
        <f t="shared" si="23"/>
        <v>269900</v>
      </c>
      <c r="AH8" s="200">
        <f t="shared" si="23"/>
        <v>269900</v>
      </c>
      <c r="AI8" s="200">
        <f t="shared" si="23"/>
        <v>269900</v>
      </c>
      <c r="AJ8" s="200">
        <f t="shared" si="23"/>
        <v>269900</v>
      </c>
      <c r="AK8" s="200">
        <f t="shared" si="23"/>
        <v>269900</v>
      </c>
      <c r="AL8" s="200">
        <f t="shared" si="23"/>
        <v>269900</v>
      </c>
      <c r="AM8" s="200">
        <f t="shared" si="23"/>
        <v>269900</v>
      </c>
      <c r="AN8" s="200">
        <f t="shared" si="23"/>
        <v>269900</v>
      </c>
      <c r="AO8" s="200">
        <f t="shared" si="23"/>
        <v>269900</v>
      </c>
      <c r="AP8" s="200">
        <f t="shared" si="23"/>
        <v>269900</v>
      </c>
      <c r="AQ8" s="200">
        <f t="shared" si="23"/>
        <v>269900</v>
      </c>
      <c r="AR8" s="201">
        <f t="shared" si="23"/>
        <v>269900</v>
      </c>
      <c r="AS8" s="201">
        <f t="shared" si="23"/>
        <v>269900</v>
      </c>
      <c r="AT8" s="201">
        <f t="shared" si="23"/>
        <v>269900</v>
      </c>
      <c r="AU8" s="201">
        <f t="shared" si="23"/>
        <v>269900</v>
      </c>
      <c r="AV8" s="201">
        <f t="shared" si="23"/>
        <v>269900</v>
      </c>
      <c r="AW8" s="201">
        <f t="shared" si="23"/>
        <v>269900</v>
      </c>
      <c r="AX8" s="201">
        <f t="shared" si="23"/>
        <v>269900</v>
      </c>
      <c r="AY8" s="201">
        <f t="shared" si="23"/>
        <v>269900</v>
      </c>
      <c r="AZ8" s="201">
        <f t="shared" si="23"/>
        <v>269900</v>
      </c>
      <c r="BA8" s="201">
        <f t="shared" si="23"/>
        <v>269900</v>
      </c>
      <c r="BB8" s="201">
        <f t="shared" si="23"/>
        <v>269900</v>
      </c>
      <c r="BC8" s="201">
        <f t="shared" si="23"/>
        <v>269900</v>
      </c>
      <c r="BD8" s="200">
        <f t="shared" si="23"/>
        <v>269900</v>
      </c>
      <c r="BE8" s="200">
        <f t="shared" ref="BE8:CJ8" si="24">BD8</f>
        <v>269900</v>
      </c>
      <c r="BF8" s="200">
        <f t="shared" si="24"/>
        <v>269900</v>
      </c>
      <c r="BG8" s="200">
        <f t="shared" si="24"/>
        <v>269900</v>
      </c>
      <c r="BH8" s="200">
        <f t="shared" si="24"/>
        <v>269900</v>
      </c>
      <c r="BI8" s="200">
        <f t="shared" si="24"/>
        <v>269900</v>
      </c>
      <c r="BJ8" s="200">
        <f t="shared" si="24"/>
        <v>269900</v>
      </c>
      <c r="BK8" s="200">
        <f t="shared" si="24"/>
        <v>269900</v>
      </c>
      <c r="BL8" s="200">
        <f t="shared" si="24"/>
        <v>269900</v>
      </c>
      <c r="BM8" s="200">
        <f t="shared" si="24"/>
        <v>269900</v>
      </c>
      <c r="BN8" s="200">
        <f t="shared" si="24"/>
        <v>269900</v>
      </c>
      <c r="BO8" s="200">
        <f t="shared" si="24"/>
        <v>269900</v>
      </c>
      <c r="BP8" s="200">
        <f t="shared" si="24"/>
        <v>269900</v>
      </c>
      <c r="BQ8" s="200">
        <f t="shared" si="24"/>
        <v>269900</v>
      </c>
      <c r="BR8" s="200">
        <f t="shared" si="24"/>
        <v>269900</v>
      </c>
      <c r="BS8" s="200">
        <f t="shared" si="24"/>
        <v>269900</v>
      </c>
      <c r="BT8" s="200">
        <f t="shared" si="24"/>
        <v>269900</v>
      </c>
      <c r="BU8" s="200">
        <f t="shared" si="24"/>
        <v>269900</v>
      </c>
      <c r="BV8" s="200">
        <f t="shared" si="24"/>
        <v>269900</v>
      </c>
      <c r="BW8" s="200">
        <f t="shared" si="24"/>
        <v>269900</v>
      </c>
      <c r="BX8" s="200">
        <f t="shared" si="24"/>
        <v>269900</v>
      </c>
      <c r="BY8" s="200">
        <f t="shared" si="24"/>
        <v>269900</v>
      </c>
      <c r="BZ8" s="200">
        <f t="shared" si="24"/>
        <v>269900</v>
      </c>
      <c r="CA8" s="200">
        <f t="shared" si="24"/>
        <v>269900</v>
      </c>
      <c r="CB8" s="200">
        <f t="shared" si="24"/>
        <v>269900</v>
      </c>
      <c r="CC8" s="200">
        <f t="shared" si="24"/>
        <v>269900</v>
      </c>
      <c r="CD8" s="200">
        <f t="shared" si="24"/>
        <v>269900</v>
      </c>
      <c r="CE8" s="200">
        <f t="shared" si="24"/>
        <v>269900</v>
      </c>
      <c r="CF8" s="200">
        <f t="shared" si="24"/>
        <v>269900</v>
      </c>
      <c r="CG8" s="200">
        <f t="shared" si="24"/>
        <v>269900</v>
      </c>
      <c r="CH8" s="200">
        <f t="shared" si="24"/>
        <v>269900</v>
      </c>
      <c r="CI8" s="200">
        <f t="shared" si="24"/>
        <v>269900</v>
      </c>
      <c r="CJ8" s="200">
        <f t="shared" si="24"/>
        <v>269900</v>
      </c>
      <c r="CK8" s="200">
        <f t="shared" ref="CK8:DP8" si="25">CJ8</f>
        <v>269900</v>
      </c>
      <c r="CL8" s="200">
        <f t="shared" si="25"/>
        <v>269900</v>
      </c>
      <c r="CM8" s="200">
        <f t="shared" si="25"/>
        <v>269900</v>
      </c>
      <c r="CN8" s="200">
        <f t="shared" si="25"/>
        <v>269900</v>
      </c>
      <c r="CO8" s="200">
        <f t="shared" si="25"/>
        <v>269900</v>
      </c>
      <c r="CP8" s="200">
        <f t="shared" si="25"/>
        <v>269900</v>
      </c>
      <c r="CQ8" s="200">
        <f t="shared" si="25"/>
        <v>269900</v>
      </c>
      <c r="CR8" s="200">
        <f t="shared" si="25"/>
        <v>269900</v>
      </c>
      <c r="CS8" s="200">
        <f t="shared" si="25"/>
        <v>269900</v>
      </c>
      <c r="CT8" s="200">
        <f t="shared" si="25"/>
        <v>269900</v>
      </c>
      <c r="CU8" s="200">
        <f t="shared" si="25"/>
        <v>269900</v>
      </c>
      <c r="CV8" s="200">
        <f t="shared" si="25"/>
        <v>269900</v>
      </c>
      <c r="CW8" s="200">
        <f t="shared" si="25"/>
        <v>269900</v>
      </c>
      <c r="CX8" s="200">
        <f t="shared" si="25"/>
        <v>269900</v>
      </c>
      <c r="CY8" s="200">
        <f t="shared" si="25"/>
        <v>269900</v>
      </c>
      <c r="CZ8" s="200">
        <f t="shared" si="25"/>
        <v>269900</v>
      </c>
      <c r="DA8" s="200">
        <f t="shared" si="25"/>
        <v>269900</v>
      </c>
      <c r="DB8" s="200">
        <f t="shared" si="25"/>
        <v>269900</v>
      </c>
      <c r="DC8" s="200">
        <f t="shared" si="25"/>
        <v>269900</v>
      </c>
      <c r="DD8" s="200">
        <f t="shared" si="25"/>
        <v>269900</v>
      </c>
      <c r="DE8" s="200">
        <f t="shared" si="25"/>
        <v>269900</v>
      </c>
      <c r="DF8" s="200">
        <f t="shared" si="25"/>
        <v>269900</v>
      </c>
      <c r="DG8" s="200">
        <f t="shared" si="25"/>
        <v>269900</v>
      </c>
      <c r="DH8" s="200">
        <f t="shared" si="25"/>
        <v>269900</v>
      </c>
      <c r="DI8" s="200">
        <f t="shared" si="25"/>
        <v>269900</v>
      </c>
      <c r="DJ8" s="200">
        <f t="shared" si="25"/>
        <v>269900</v>
      </c>
      <c r="DK8" s="200">
        <f t="shared" si="25"/>
        <v>269900</v>
      </c>
      <c r="DL8" s="200">
        <f t="shared" si="25"/>
        <v>269900</v>
      </c>
      <c r="DM8" s="200">
        <f t="shared" si="25"/>
        <v>269900</v>
      </c>
      <c r="DN8" s="200">
        <f t="shared" si="25"/>
        <v>269900</v>
      </c>
      <c r="DO8" s="200">
        <f t="shared" si="25"/>
        <v>269900</v>
      </c>
      <c r="DP8" s="200">
        <f t="shared" si="25"/>
        <v>269900</v>
      </c>
      <c r="DQ8" s="200">
        <f t="shared" ref="DQ8:EQ8" si="26">DP8</f>
        <v>269900</v>
      </c>
      <c r="DR8" s="200">
        <f t="shared" si="26"/>
        <v>269900</v>
      </c>
      <c r="DS8" s="200">
        <f t="shared" si="26"/>
        <v>269900</v>
      </c>
      <c r="DT8" s="200">
        <f t="shared" si="26"/>
        <v>269900</v>
      </c>
      <c r="DU8" s="200">
        <f t="shared" si="26"/>
        <v>269900</v>
      </c>
      <c r="DV8" s="200">
        <f t="shared" si="26"/>
        <v>269900</v>
      </c>
      <c r="DW8" s="200">
        <f t="shared" si="26"/>
        <v>269900</v>
      </c>
      <c r="DX8" s="200">
        <f t="shared" si="26"/>
        <v>269900</v>
      </c>
      <c r="DY8" s="200">
        <f t="shared" si="26"/>
        <v>269900</v>
      </c>
      <c r="DZ8" s="200">
        <f t="shared" si="26"/>
        <v>269900</v>
      </c>
      <c r="EA8" s="200">
        <f t="shared" si="26"/>
        <v>269900</v>
      </c>
      <c r="EB8" s="200">
        <f t="shared" si="26"/>
        <v>269900</v>
      </c>
      <c r="EC8" s="200">
        <f t="shared" si="26"/>
        <v>269900</v>
      </c>
      <c r="ED8" s="200">
        <f t="shared" si="26"/>
        <v>269900</v>
      </c>
      <c r="EE8" s="200">
        <f t="shared" si="26"/>
        <v>269900</v>
      </c>
      <c r="EF8" s="200">
        <f t="shared" si="26"/>
        <v>269900</v>
      </c>
      <c r="EG8" s="200">
        <f t="shared" si="26"/>
        <v>269900</v>
      </c>
      <c r="EH8" s="200">
        <f t="shared" si="26"/>
        <v>269900</v>
      </c>
      <c r="EI8" s="200">
        <f t="shared" si="26"/>
        <v>269900</v>
      </c>
      <c r="EJ8" s="200">
        <f t="shared" si="26"/>
        <v>269900</v>
      </c>
      <c r="EK8" s="200">
        <f t="shared" si="26"/>
        <v>269900</v>
      </c>
      <c r="EL8" s="200">
        <f t="shared" si="26"/>
        <v>269900</v>
      </c>
      <c r="EM8" s="200">
        <f t="shared" si="26"/>
        <v>269900</v>
      </c>
      <c r="EN8" s="200">
        <f t="shared" si="26"/>
        <v>269900</v>
      </c>
      <c r="EO8" s="200">
        <f t="shared" si="26"/>
        <v>269900</v>
      </c>
      <c r="EP8" s="200">
        <f t="shared" si="26"/>
        <v>269900</v>
      </c>
      <c r="EQ8" s="200">
        <f t="shared" si="26"/>
        <v>269900</v>
      </c>
    </row>
    <row r="9" spans="1:147" ht="14.25" customHeight="1" x14ac:dyDescent="0.3">
      <c r="A9" s="41" t="s">
        <v>132</v>
      </c>
      <c r="B9" s="42">
        <v>7</v>
      </c>
      <c r="U9" s="200"/>
      <c r="V9" s="200"/>
      <c r="W9" s="200"/>
      <c r="X9" s="200"/>
      <c r="Y9" s="200"/>
      <c r="Z9" s="200">
        <v>140000</v>
      </c>
      <c r="AA9" s="200">
        <f t="shared" ref="AA9:BF9" si="27">Z9</f>
        <v>140000</v>
      </c>
      <c r="AB9" s="200">
        <f t="shared" si="27"/>
        <v>140000</v>
      </c>
      <c r="AC9" s="200">
        <f t="shared" si="27"/>
        <v>140000</v>
      </c>
      <c r="AD9" s="200">
        <f t="shared" si="27"/>
        <v>140000</v>
      </c>
      <c r="AE9" s="200">
        <f t="shared" si="27"/>
        <v>140000</v>
      </c>
      <c r="AF9" s="200">
        <f t="shared" si="27"/>
        <v>140000</v>
      </c>
      <c r="AG9" s="200">
        <f t="shared" si="27"/>
        <v>140000</v>
      </c>
      <c r="AH9" s="200">
        <f t="shared" si="27"/>
        <v>140000</v>
      </c>
      <c r="AI9" s="200">
        <f t="shared" si="27"/>
        <v>140000</v>
      </c>
      <c r="AJ9" s="200">
        <f t="shared" si="27"/>
        <v>140000</v>
      </c>
      <c r="AK9" s="200">
        <f t="shared" si="27"/>
        <v>140000</v>
      </c>
      <c r="AL9" s="200">
        <f t="shared" si="27"/>
        <v>140000</v>
      </c>
      <c r="AM9" s="200">
        <f t="shared" si="27"/>
        <v>140000</v>
      </c>
      <c r="AN9" s="200">
        <f t="shared" si="27"/>
        <v>140000</v>
      </c>
      <c r="AO9" s="200">
        <f t="shared" si="27"/>
        <v>140000</v>
      </c>
      <c r="AP9" s="200">
        <f t="shared" si="27"/>
        <v>140000</v>
      </c>
      <c r="AQ9" s="200">
        <f t="shared" si="27"/>
        <v>140000</v>
      </c>
      <c r="AR9" s="201">
        <f t="shared" si="27"/>
        <v>140000</v>
      </c>
      <c r="AS9" s="201">
        <f t="shared" si="27"/>
        <v>140000</v>
      </c>
      <c r="AT9" s="201">
        <f t="shared" si="27"/>
        <v>140000</v>
      </c>
      <c r="AU9" s="201">
        <f t="shared" si="27"/>
        <v>140000</v>
      </c>
      <c r="AV9" s="201">
        <f t="shared" si="27"/>
        <v>140000</v>
      </c>
      <c r="AW9" s="201">
        <f t="shared" si="27"/>
        <v>140000</v>
      </c>
      <c r="AX9" s="201">
        <f t="shared" si="27"/>
        <v>140000</v>
      </c>
      <c r="AY9" s="201">
        <f t="shared" si="27"/>
        <v>140000</v>
      </c>
      <c r="AZ9" s="201">
        <f t="shared" si="27"/>
        <v>140000</v>
      </c>
      <c r="BA9" s="201">
        <f t="shared" si="27"/>
        <v>140000</v>
      </c>
      <c r="BB9" s="201">
        <f t="shared" si="27"/>
        <v>140000</v>
      </c>
      <c r="BC9" s="201">
        <f t="shared" si="27"/>
        <v>140000</v>
      </c>
      <c r="BD9" s="200">
        <f t="shared" si="27"/>
        <v>140000</v>
      </c>
      <c r="BE9" s="200">
        <f t="shared" si="27"/>
        <v>140000</v>
      </c>
      <c r="BF9" s="200">
        <f t="shared" si="27"/>
        <v>140000</v>
      </c>
      <c r="BG9" s="200">
        <f t="shared" ref="BG9:CL9" si="28">BF9</f>
        <v>140000</v>
      </c>
      <c r="BH9" s="200">
        <f t="shared" si="28"/>
        <v>140000</v>
      </c>
      <c r="BI9" s="200">
        <f t="shared" si="28"/>
        <v>140000</v>
      </c>
      <c r="BJ9" s="200">
        <f t="shared" si="28"/>
        <v>140000</v>
      </c>
      <c r="BK9" s="200">
        <f t="shared" si="28"/>
        <v>140000</v>
      </c>
      <c r="BL9" s="200">
        <f t="shared" si="28"/>
        <v>140000</v>
      </c>
      <c r="BM9" s="200">
        <f t="shared" si="28"/>
        <v>140000</v>
      </c>
      <c r="BN9" s="200">
        <f t="shared" si="28"/>
        <v>140000</v>
      </c>
      <c r="BO9" s="200">
        <f t="shared" si="28"/>
        <v>140000</v>
      </c>
      <c r="BP9" s="200">
        <f t="shared" si="28"/>
        <v>140000</v>
      </c>
      <c r="BQ9" s="200">
        <f t="shared" si="28"/>
        <v>140000</v>
      </c>
      <c r="BR9" s="200">
        <f t="shared" si="28"/>
        <v>140000</v>
      </c>
      <c r="BS9" s="200">
        <f t="shared" si="28"/>
        <v>140000</v>
      </c>
      <c r="BT9" s="200">
        <f t="shared" si="28"/>
        <v>140000</v>
      </c>
      <c r="BU9" s="200">
        <f t="shared" si="28"/>
        <v>140000</v>
      </c>
      <c r="BV9" s="200">
        <f t="shared" si="28"/>
        <v>140000</v>
      </c>
      <c r="BW9" s="200">
        <f t="shared" si="28"/>
        <v>140000</v>
      </c>
      <c r="BX9" s="200">
        <f t="shared" si="28"/>
        <v>140000</v>
      </c>
      <c r="BY9" s="200">
        <f t="shared" si="28"/>
        <v>140000</v>
      </c>
      <c r="BZ9" s="200">
        <f t="shared" si="28"/>
        <v>140000</v>
      </c>
      <c r="CA9" s="200">
        <f t="shared" si="28"/>
        <v>140000</v>
      </c>
      <c r="CB9" s="200">
        <f t="shared" si="28"/>
        <v>140000</v>
      </c>
      <c r="CC9" s="200">
        <f t="shared" si="28"/>
        <v>140000</v>
      </c>
      <c r="CD9" s="200">
        <f t="shared" si="28"/>
        <v>140000</v>
      </c>
      <c r="CE9" s="200">
        <f t="shared" si="28"/>
        <v>140000</v>
      </c>
      <c r="CF9" s="200">
        <f t="shared" si="28"/>
        <v>140000</v>
      </c>
      <c r="CG9" s="200">
        <f t="shared" si="28"/>
        <v>140000</v>
      </c>
      <c r="CH9" s="200">
        <f t="shared" si="28"/>
        <v>140000</v>
      </c>
      <c r="CI9" s="200">
        <f t="shared" si="28"/>
        <v>140000</v>
      </c>
      <c r="CJ9" s="200">
        <f t="shared" si="28"/>
        <v>140000</v>
      </c>
      <c r="CK9" s="200">
        <f t="shared" si="28"/>
        <v>140000</v>
      </c>
      <c r="CL9" s="200">
        <f t="shared" si="28"/>
        <v>140000</v>
      </c>
      <c r="CM9" s="200">
        <f t="shared" ref="CM9:DR9" si="29">CL9</f>
        <v>140000</v>
      </c>
      <c r="CN9" s="200">
        <f t="shared" si="29"/>
        <v>140000</v>
      </c>
      <c r="CO9" s="200">
        <f t="shared" si="29"/>
        <v>140000</v>
      </c>
      <c r="CP9" s="200">
        <f t="shared" si="29"/>
        <v>140000</v>
      </c>
      <c r="CQ9" s="200">
        <f t="shared" si="29"/>
        <v>140000</v>
      </c>
      <c r="CR9" s="200">
        <f t="shared" si="29"/>
        <v>140000</v>
      </c>
      <c r="CS9" s="200">
        <f t="shared" si="29"/>
        <v>140000</v>
      </c>
      <c r="CT9" s="200">
        <f t="shared" si="29"/>
        <v>140000</v>
      </c>
      <c r="CU9" s="200">
        <f t="shared" si="29"/>
        <v>140000</v>
      </c>
      <c r="CV9" s="200">
        <f t="shared" si="29"/>
        <v>140000</v>
      </c>
      <c r="CW9" s="200">
        <f t="shared" si="29"/>
        <v>140000</v>
      </c>
      <c r="CX9" s="200">
        <f t="shared" si="29"/>
        <v>140000</v>
      </c>
      <c r="CY9" s="200">
        <f t="shared" si="29"/>
        <v>140000</v>
      </c>
      <c r="CZ9" s="200">
        <f t="shared" si="29"/>
        <v>140000</v>
      </c>
      <c r="DA9" s="200">
        <f t="shared" si="29"/>
        <v>140000</v>
      </c>
      <c r="DB9" s="200">
        <f t="shared" si="29"/>
        <v>140000</v>
      </c>
      <c r="DC9" s="200">
        <f t="shared" si="29"/>
        <v>140000</v>
      </c>
      <c r="DD9" s="200">
        <f t="shared" si="29"/>
        <v>140000</v>
      </c>
      <c r="DE9" s="200">
        <f t="shared" si="29"/>
        <v>140000</v>
      </c>
      <c r="DF9" s="200">
        <f t="shared" si="29"/>
        <v>140000</v>
      </c>
      <c r="DG9" s="200">
        <f t="shared" si="29"/>
        <v>140000</v>
      </c>
      <c r="DH9" s="200">
        <f t="shared" si="29"/>
        <v>140000</v>
      </c>
      <c r="DI9" s="200">
        <f t="shared" si="29"/>
        <v>140000</v>
      </c>
      <c r="DJ9" s="200">
        <f t="shared" si="29"/>
        <v>140000</v>
      </c>
      <c r="DK9" s="200">
        <f t="shared" si="29"/>
        <v>140000</v>
      </c>
      <c r="DL9" s="200">
        <f t="shared" si="29"/>
        <v>140000</v>
      </c>
      <c r="DM9" s="200">
        <f t="shared" si="29"/>
        <v>140000</v>
      </c>
      <c r="DN9" s="200">
        <f t="shared" si="29"/>
        <v>140000</v>
      </c>
      <c r="DO9" s="200">
        <f t="shared" si="29"/>
        <v>140000</v>
      </c>
      <c r="DP9" s="200">
        <f t="shared" si="29"/>
        <v>140000</v>
      </c>
      <c r="DQ9" s="200">
        <f t="shared" si="29"/>
        <v>140000</v>
      </c>
      <c r="DR9" s="200">
        <f t="shared" si="29"/>
        <v>140000</v>
      </c>
      <c r="DS9" s="200">
        <f t="shared" ref="DS9:EQ9" si="30">DR9</f>
        <v>140000</v>
      </c>
      <c r="DT9" s="200">
        <f t="shared" si="30"/>
        <v>140000</v>
      </c>
      <c r="DU9" s="200">
        <f t="shared" si="30"/>
        <v>140000</v>
      </c>
      <c r="DV9" s="200">
        <f t="shared" si="30"/>
        <v>140000</v>
      </c>
      <c r="DW9" s="200">
        <f t="shared" si="30"/>
        <v>140000</v>
      </c>
      <c r="DX9" s="200">
        <f t="shared" si="30"/>
        <v>140000</v>
      </c>
      <c r="DY9" s="200">
        <f t="shared" si="30"/>
        <v>140000</v>
      </c>
      <c r="DZ9" s="200">
        <f t="shared" si="30"/>
        <v>140000</v>
      </c>
      <c r="EA9" s="200">
        <f t="shared" si="30"/>
        <v>140000</v>
      </c>
      <c r="EB9" s="200">
        <f t="shared" si="30"/>
        <v>140000</v>
      </c>
      <c r="EC9" s="200">
        <f t="shared" si="30"/>
        <v>140000</v>
      </c>
      <c r="ED9" s="200">
        <f t="shared" si="30"/>
        <v>140000</v>
      </c>
      <c r="EE9" s="200">
        <f t="shared" si="30"/>
        <v>140000</v>
      </c>
      <c r="EF9" s="200">
        <f t="shared" si="30"/>
        <v>140000</v>
      </c>
      <c r="EG9" s="200">
        <f t="shared" si="30"/>
        <v>140000</v>
      </c>
      <c r="EH9" s="200">
        <f t="shared" si="30"/>
        <v>140000</v>
      </c>
      <c r="EI9" s="200">
        <f t="shared" si="30"/>
        <v>140000</v>
      </c>
      <c r="EJ9" s="200">
        <f t="shared" si="30"/>
        <v>140000</v>
      </c>
      <c r="EK9" s="200">
        <f t="shared" si="30"/>
        <v>140000</v>
      </c>
      <c r="EL9" s="200">
        <f t="shared" si="30"/>
        <v>140000</v>
      </c>
      <c r="EM9" s="200">
        <f t="shared" si="30"/>
        <v>140000</v>
      </c>
      <c r="EN9" s="200">
        <f t="shared" si="30"/>
        <v>140000</v>
      </c>
      <c r="EO9" s="200">
        <f t="shared" si="30"/>
        <v>140000</v>
      </c>
      <c r="EP9" s="200">
        <f t="shared" si="30"/>
        <v>140000</v>
      </c>
      <c r="EQ9" s="200">
        <f t="shared" si="30"/>
        <v>140000</v>
      </c>
    </row>
    <row r="10" spans="1:147" ht="14.25" customHeight="1" x14ac:dyDescent="0.3">
      <c r="A10" s="41" t="s">
        <v>131</v>
      </c>
      <c r="B10" s="42">
        <v>7</v>
      </c>
      <c r="U10" s="200"/>
      <c r="V10" s="200"/>
      <c r="W10" s="200"/>
      <c r="X10" s="200"/>
      <c r="Y10" s="200"/>
      <c r="Z10" s="200">
        <v>272754.5</v>
      </c>
      <c r="AA10" s="200">
        <f t="shared" ref="AA10:BF10" si="31">Z10</f>
        <v>272754.5</v>
      </c>
      <c r="AB10" s="200">
        <f t="shared" si="31"/>
        <v>272754.5</v>
      </c>
      <c r="AC10" s="200">
        <f t="shared" si="31"/>
        <v>272754.5</v>
      </c>
      <c r="AD10" s="200">
        <f t="shared" si="31"/>
        <v>272754.5</v>
      </c>
      <c r="AE10" s="200">
        <f t="shared" si="31"/>
        <v>272754.5</v>
      </c>
      <c r="AF10" s="200">
        <f t="shared" si="31"/>
        <v>272754.5</v>
      </c>
      <c r="AG10" s="200">
        <f t="shared" si="31"/>
        <v>272754.5</v>
      </c>
      <c r="AH10" s="200">
        <f t="shared" si="31"/>
        <v>272754.5</v>
      </c>
      <c r="AI10" s="200">
        <f t="shared" si="31"/>
        <v>272754.5</v>
      </c>
      <c r="AJ10" s="200">
        <f t="shared" si="31"/>
        <v>272754.5</v>
      </c>
      <c r="AK10" s="200">
        <f t="shared" si="31"/>
        <v>272754.5</v>
      </c>
      <c r="AL10" s="200">
        <f t="shared" si="31"/>
        <v>272754.5</v>
      </c>
      <c r="AM10" s="200">
        <f t="shared" si="31"/>
        <v>272754.5</v>
      </c>
      <c r="AN10" s="200">
        <f t="shared" si="31"/>
        <v>272754.5</v>
      </c>
      <c r="AO10" s="200">
        <f t="shared" si="31"/>
        <v>272754.5</v>
      </c>
      <c r="AP10" s="200">
        <f t="shared" si="31"/>
        <v>272754.5</v>
      </c>
      <c r="AQ10" s="200">
        <f t="shared" si="31"/>
        <v>272754.5</v>
      </c>
      <c r="AR10" s="201">
        <f t="shared" si="31"/>
        <v>272754.5</v>
      </c>
      <c r="AS10" s="201">
        <f t="shared" si="31"/>
        <v>272754.5</v>
      </c>
      <c r="AT10" s="201">
        <f t="shared" si="31"/>
        <v>272754.5</v>
      </c>
      <c r="AU10" s="201">
        <f t="shared" si="31"/>
        <v>272754.5</v>
      </c>
      <c r="AV10" s="201">
        <f t="shared" si="31"/>
        <v>272754.5</v>
      </c>
      <c r="AW10" s="201">
        <f t="shared" si="31"/>
        <v>272754.5</v>
      </c>
      <c r="AX10" s="201">
        <f t="shared" si="31"/>
        <v>272754.5</v>
      </c>
      <c r="AY10" s="201">
        <f t="shared" si="31"/>
        <v>272754.5</v>
      </c>
      <c r="AZ10" s="201">
        <f t="shared" si="31"/>
        <v>272754.5</v>
      </c>
      <c r="BA10" s="201">
        <f t="shared" si="31"/>
        <v>272754.5</v>
      </c>
      <c r="BB10" s="201">
        <f t="shared" si="31"/>
        <v>272754.5</v>
      </c>
      <c r="BC10" s="201">
        <f t="shared" si="31"/>
        <v>272754.5</v>
      </c>
      <c r="BD10" s="200">
        <f t="shared" si="31"/>
        <v>272754.5</v>
      </c>
      <c r="BE10" s="200">
        <f t="shared" si="31"/>
        <v>272754.5</v>
      </c>
      <c r="BF10" s="200">
        <f t="shared" si="31"/>
        <v>272754.5</v>
      </c>
      <c r="BG10" s="200">
        <f t="shared" ref="BG10:CL10" si="32">BF10</f>
        <v>272754.5</v>
      </c>
      <c r="BH10" s="200">
        <f t="shared" si="32"/>
        <v>272754.5</v>
      </c>
      <c r="BI10" s="200">
        <f t="shared" si="32"/>
        <v>272754.5</v>
      </c>
      <c r="BJ10" s="200">
        <f t="shared" si="32"/>
        <v>272754.5</v>
      </c>
      <c r="BK10" s="200">
        <f t="shared" si="32"/>
        <v>272754.5</v>
      </c>
      <c r="BL10" s="200">
        <f t="shared" si="32"/>
        <v>272754.5</v>
      </c>
      <c r="BM10" s="200">
        <f t="shared" si="32"/>
        <v>272754.5</v>
      </c>
      <c r="BN10" s="200">
        <f t="shared" si="32"/>
        <v>272754.5</v>
      </c>
      <c r="BO10" s="200">
        <f t="shared" si="32"/>
        <v>272754.5</v>
      </c>
      <c r="BP10" s="200">
        <f t="shared" si="32"/>
        <v>272754.5</v>
      </c>
      <c r="BQ10" s="200">
        <f t="shared" si="32"/>
        <v>272754.5</v>
      </c>
      <c r="BR10" s="200">
        <f t="shared" si="32"/>
        <v>272754.5</v>
      </c>
      <c r="BS10" s="200">
        <f t="shared" si="32"/>
        <v>272754.5</v>
      </c>
      <c r="BT10" s="200">
        <f t="shared" si="32"/>
        <v>272754.5</v>
      </c>
      <c r="BU10" s="200">
        <f t="shared" si="32"/>
        <v>272754.5</v>
      </c>
      <c r="BV10" s="200">
        <f t="shared" si="32"/>
        <v>272754.5</v>
      </c>
      <c r="BW10" s="200">
        <f t="shared" si="32"/>
        <v>272754.5</v>
      </c>
      <c r="BX10" s="200">
        <f t="shared" si="32"/>
        <v>272754.5</v>
      </c>
      <c r="BY10" s="200">
        <f t="shared" si="32"/>
        <v>272754.5</v>
      </c>
      <c r="BZ10" s="200">
        <f t="shared" si="32"/>
        <v>272754.5</v>
      </c>
      <c r="CA10" s="200">
        <f t="shared" si="32"/>
        <v>272754.5</v>
      </c>
      <c r="CB10" s="200">
        <f t="shared" si="32"/>
        <v>272754.5</v>
      </c>
      <c r="CC10" s="200">
        <f t="shared" si="32"/>
        <v>272754.5</v>
      </c>
      <c r="CD10" s="200">
        <f t="shared" si="32"/>
        <v>272754.5</v>
      </c>
      <c r="CE10" s="200">
        <f t="shared" si="32"/>
        <v>272754.5</v>
      </c>
      <c r="CF10" s="200">
        <f t="shared" si="32"/>
        <v>272754.5</v>
      </c>
      <c r="CG10" s="200">
        <f t="shared" si="32"/>
        <v>272754.5</v>
      </c>
      <c r="CH10" s="200">
        <f t="shared" si="32"/>
        <v>272754.5</v>
      </c>
      <c r="CI10" s="200">
        <f t="shared" si="32"/>
        <v>272754.5</v>
      </c>
      <c r="CJ10" s="200">
        <f t="shared" si="32"/>
        <v>272754.5</v>
      </c>
      <c r="CK10" s="200">
        <f t="shared" si="32"/>
        <v>272754.5</v>
      </c>
      <c r="CL10" s="200">
        <f t="shared" si="32"/>
        <v>272754.5</v>
      </c>
      <c r="CM10" s="200">
        <f t="shared" ref="CM10:DR10" si="33">CL10</f>
        <v>272754.5</v>
      </c>
      <c r="CN10" s="200">
        <f t="shared" si="33"/>
        <v>272754.5</v>
      </c>
      <c r="CO10" s="200">
        <f t="shared" si="33"/>
        <v>272754.5</v>
      </c>
      <c r="CP10" s="200">
        <f t="shared" si="33"/>
        <v>272754.5</v>
      </c>
      <c r="CQ10" s="200">
        <f t="shared" si="33"/>
        <v>272754.5</v>
      </c>
      <c r="CR10" s="200">
        <f t="shared" si="33"/>
        <v>272754.5</v>
      </c>
      <c r="CS10" s="200">
        <f t="shared" si="33"/>
        <v>272754.5</v>
      </c>
      <c r="CT10" s="200">
        <f t="shared" si="33"/>
        <v>272754.5</v>
      </c>
      <c r="CU10" s="200">
        <f t="shared" si="33"/>
        <v>272754.5</v>
      </c>
      <c r="CV10" s="200">
        <f t="shared" si="33"/>
        <v>272754.5</v>
      </c>
      <c r="CW10" s="200">
        <f t="shared" si="33"/>
        <v>272754.5</v>
      </c>
      <c r="CX10" s="200">
        <f t="shared" si="33"/>
        <v>272754.5</v>
      </c>
      <c r="CY10" s="200">
        <f t="shared" si="33"/>
        <v>272754.5</v>
      </c>
      <c r="CZ10" s="200">
        <f t="shared" si="33"/>
        <v>272754.5</v>
      </c>
      <c r="DA10" s="200">
        <f t="shared" si="33"/>
        <v>272754.5</v>
      </c>
      <c r="DB10" s="200">
        <f t="shared" si="33"/>
        <v>272754.5</v>
      </c>
      <c r="DC10" s="200">
        <f t="shared" si="33"/>
        <v>272754.5</v>
      </c>
      <c r="DD10" s="200">
        <f t="shared" si="33"/>
        <v>272754.5</v>
      </c>
      <c r="DE10" s="200">
        <f t="shared" si="33"/>
        <v>272754.5</v>
      </c>
      <c r="DF10" s="200">
        <f t="shared" si="33"/>
        <v>272754.5</v>
      </c>
      <c r="DG10" s="200">
        <f t="shared" si="33"/>
        <v>272754.5</v>
      </c>
      <c r="DH10" s="200">
        <f t="shared" si="33"/>
        <v>272754.5</v>
      </c>
      <c r="DI10" s="200">
        <f t="shared" si="33"/>
        <v>272754.5</v>
      </c>
      <c r="DJ10" s="200">
        <f t="shared" si="33"/>
        <v>272754.5</v>
      </c>
      <c r="DK10" s="200">
        <f t="shared" si="33"/>
        <v>272754.5</v>
      </c>
      <c r="DL10" s="200">
        <f t="shared" si="33"/>
        <v>272754.5</v>
      </c>
      <c r="DM10" s="200">
        <f t="shared" si="33"/>
        <v>272754.5</v>
      </c>
      <c r="DN10" s="200">
        <f t="shared" si="33"/>
        <v>272754.5</v>
      </c>
      <c r="DO10" s="200">
        <f t="shared" si="33"/>
        <v>272754.5</v>
      </c>
      <c r="DP10" s="200">
        <f t="shared" si="33"/>
        <v>272754.5</v>
      </c>
      <c r="DQ10" s="200">
        <f t="shared" si="33"/>
        <v>272754.5</v>
      </c>
      <c r="DR10" s="200">
        <f t="shared" si="33"/>
        <v>272754.5</v>
      </c>
      <c r="DS10" s="200">
        <f t="shared" ref="DS10:EQ10" si="34">DR10</f>
        <v>272754.5</v>
      </c>
      <c r="DT10" s="200">
        <f t="shared" si="34"/>
        <v>272754.5</v>
      </c>
      <c r="DU10" s="200">
        <f t="shared" si="34"/>
        <v>272754.5</v>
      </c>
      <c r="DV10" s="200">
        <f t="shared" si="34"/>
        <v>272754.5</v>
      </c>
      <c r="DW10" s="200">
        <f t="shared" si="34"/>
        <v>272754.5</v>
      </c>
      <c r="DX10" s="200">
        <f t="shared" si="34"/>
        <v>272754.5</v>
      </c>
      <c r="DY10" s="200">
        <f t="shared" si="34"/>
        <v>272754.5</v>
      </c>
      <c r="DZ10" s="200">
        <f t="shared" si="34"/>
        <v>272754.5</v>
      </c>
      <c r="EA10" s="200">
        <f t="shared" si="34"/>
        <v>272754.5</v>
      </c>
      <c r="EB10" s="200">
        <f t="shared" si="34"/>
        <v>272754.5</v>
      </c>
      <c r="EC10" s="200">
        <f t="shared" si="34"/>
        <v>272754.5</v>
      </c>
      <c r="ED10" s="200">
        <f t="shared" si="34"/>
        <v>272754.5</v>
      </c>
      <c r="EE10" s="200">
        <f t="shared" si="34"/>
        <v>272754.5</v>
      </c>
      <c r="EF10" s="200">
        <f t="shared" si="34"/>
        <v>272754.5</v>
      </c>
      <c r="EG10" s="200">
        <f t="shared" si="34"/>
        <v>272754.5</v>
      </c>
      <c r="EH10" s="200">
        <f t="shared" si="34"/>
        <v>272754.5</v>
      </c>
      <c r="EI10" s="200">
        <f t="shared" si="34"/>
        <v>272754.5</v>
      </c>
      <c r="EJ10" s="200">
        <f t="shared" si="34"/>
        <v>272754.5</v>
      </c>
      <c r="EK10" s="200">
        <f t="shared" si="34"/>
        <v>272754.5</v>
      </c>
      <c r="EL10" s="200">
        <f t="shared" si="34"/>
        <v>272754.5</v>
      </c>
      <c r="EM10" s="200">
        <f t="shared" si="34"/>
        <v>272754.5</v>
      </c>
      <c r="EN10" s="200">
        <f t="shared" si="34"/>
        <v>272754.5</v>
      </c>
      <c r="EO10" s="200">
        <f t="shared" si="34"/>
        <v>272754.5</v>
      </c>
      <c r="EP10" s="200">
        <f t="shared" si="34"/>
        <v>272754.5</v>
      </c>
      <c r="EQ10" s="200">
        <f t="shared" si="34"/>
        <v>272754.5</v>
      </c>
    </row>
    <row r="11" spans="1:147" x14ac:dyDescent="0.3">
      <c r="BE11" s="41"/>
    </row>
    <row r="12" spans="1:147" x14ac:dyDescent="0.3">
      <c r="A12" s="41" t="s">
        <v>16</v>
      </c>
      <c r="C12" s="42">
        <f t="shared" ref="C12:AH12" si="35">SUM(C4:C11)</f>
        <v>131464</v>
      </c>
      <c r="D12" s="42">
        <f t="shared" si="35"/>
        <v>131464</v>
      </c>
      <c r="E12" s="42">
        <f t="shared" si="35"/>
        <v>131464</v>
      </c>
      <c r="F12" s="42">
        <f t="shared" si="35"/>
        <v>131464</v>
      </c>
      <c r="G12" s="42">
        <f t="shared" si="35"/>
        <v>131464</v>
      </c>
      <c r="H12" s="42">
        <f t="shared" si="35"/>
        <v>281464</v>
      </c>
      <c r="I12" s="42">
        <f t="shared" si="35"/>
        <v>545456.78</v>
      </c>
      <c r="J12" s="42">
        <f t="shared" si="35"/>
        <v>815356.78</v>
      </c>
      <c r="K12" s="42">
        <f t="shared" si="35"/>
        <v>815356.78</v>
      </c>
      <c r="L12" s="42">
        <f t="shared" si="35"/>
        <v>815356.78</v>
      </c>
      <c r="M12" s="42">
        <f t="shared" si="35"/>
        <v>815356.78</v>
      </c>
      <c r="N12" s="42">
        <f t="shared" si="35"/>
        <v>815356.78</v>
      </c>
      <c r="O12" s="42">
        <f t="shared" si="35"/>
        <v>815356.78</v>
      </c>
      <c r="P12" s="42">
        <f t="shared" si="35"/>
        <v>815356.78</v>
      </c>
      <c r="Q12" s="42">
        <f t="shared" si="35"/>
        <v>815356.78</v>
      </c>
      <c r="R12" s="42">
        <f t="shared" si="35"/>
        <v>815356.78</v>
      </c>
      <c r="S12" s="42">
        <f t="shared" si="35"/>
        <v>815356.78</v>
      </c>
      <c r="T12" s="42">
        <f t="shared" si="35"/>
        <v>815356.78</v>
      </c>
      <c r="U12" s="42">
        <f t="shared" si="35"/>
        <v>783287.78</v>
      </c>
      <c r="V12" s="42">
        <f t="shared" si="35"/>
        <v>783287.78</v>
      </c>
      <c r="W12" s="42">
        <f t="shared" si="35"/>
        <v>783287.78</v>
      </c>
      <c r="X12" s="42">
        <f t="shared" si="35"/>
        <v>755639.78</v>
      </c>
      <c r="Y12" s="42">
        <f t="shared" si="35"/>
        <v>755639.78</v>
      </c>
      <c r="Z12" s="42">
        <f t="shared" si="35"/>
        <v>1168394.28</v>
      </c>
      <c r="AA12" s="42">
        <f t="shared" si="35"/>
        <v>1168394.28</v>
      </c>
      <c r="AB12" s="42">
        <f t="shared" si="35"/>
        <v>1168394.28</v>
      </c>
      <c r="AC12" s="42">
        <f t="shared" si="35"/>
        <v>1168394.28</v>
      </c>
      <c r="AD12" s="42">
        <f t="shared" si="35"/>
        <v>1168394.28</v>
      </c>
      <c r="AE12" s="42">
        <f t="shared" si="35"/>
        <v>1168394.28</v>
      </c>
      <c r="AF12" s="42">
        <f t="shared" si="35"/>
        <v>1168394.28</v>
      </c>
      <c r="AG12" s="42">
        <f t="shared" si="35"/>
        <v>1168394.28</v>
      </c>
      <c r="AH12" s="42">
        <f t="shared" si="35"/>
        <v>1168394.28</v>
      </c>
      <c r="AI12" s="42">
        <f t="shared" ref="AI12:BN12" si="36">SUM(AI4:AI11)</f>
        <v>1168394.28</v>
      </c>
      <c r="AJ12" s="42">
        <f t="shared" si="36"/>
        <v>1168394.28</v>
      </c>
      <c r="AK12" s="42">
        <f t="shared" si="36"/>
        <v>1103394.28</v>
      </c>
      <c r="AL12" s="42">
        <f t="shared" si="36"/>
        <v>1103394.28</v>
      </c>
      <c r="AM12" s="42">
        <f t="shared" si="36"/>
        <v>1103394.28</v>
      </c>
      <c r="AN12" s="42">
        <f t="shared" si="36"/>
        <v>1103394.28</v>
      </c>
      <c r="AO12" s="42">
        <f t="shared" si="36"/>
        <v>1103394.28</v>
      </c>
      <c r="AP12" s="42">
        <f t="shared" si="36"/>
        <v>1081330.97</v>
      </c>
      <c r="AQ12" s="42">
        <f t="shared" si="36"/>
        <v>1081330.97</v>
      </c>
      <c r="AR12" s="202">
        <f t="shared" si="36"/>
        <v>1081330.97</v>
      </c>
      <c r="AS12" s="202">
        <f t="shared" si="36"/>
        <v>1081330.97</v>
      </c>
      <c r="AT12" s="202">
        <f t="shared" si="36"/>
        <v>1081330.97</v>
      </c>
      <c r="AU12" s="202">
        <f t="shared" si="36"/>
        <v>1081330.97</v>
      </c>
      <c r="AV12" s="202">
        <f t="shared" si="36"/>
        <v>1081330.97</v>
      </c>
      <c r="AW12" s="202">
        <f t="shared" si="36"/>
        <v>1081330.97</v>
      </c>
      <c r="AX12" s="202">
        <f t="shared" si="36"/>
        <v>1081330.97</v>
      </c>
      <c r="AY12" s="202">
        <f t="shared" si="36"/>
        <v>1081330.97</v>
      </c>
      <c r="AZ12" s="202">
        <f t="shared" si="36"/>
        <v>1081330.97</v>
      </c>
      <c r="BA12" s="202">
        <f t="shared" si="36"/>
        <v>1081330.97</v>
      </c>
      <c r="BB12" s="202">
        <f t="shared" si="36"/>
        <v>1081330.97</v>
      </c>
      <c r="BC12" s="202">
        <f t="shared" si="36"/>
        <v>1081330.97</v>
      </c>
      <c r="BD12" s="42">
        <f t="shared" si="36"/>
        <v>1081330.97</v>
      </c>
      <c r="BE12" s="42">
        <f t="shared" si="36"/>
        <v>1081330.97</v>
      </c>
      <c r="BF12" s="42">
        <f t="shared" si="36"/>
        <v>1081330.97</v>
      </c>
      <c r="BG12" s="42">
        <f t="shared" si="36"/>
        <v>1081330.97</v>
      </c>
      <c r="BH12" s="42">
        <f t="shared" si="36"/>
        <v>1081330.97</v>
      </c>
      <c r="BI12" s="42">
        <f t="shared" si="36"/>
        <v>1081330.97</v>
      </c>
      <c r="BJ12" s="42">
        <f t="shared" si="36"/>
        <v>1081330.97</v>
      </c>
      <c r="BK12" s="42">
        <f t="shared" si="36"/>
        <v>1081330.97</v>
      </c>
      <c r="BL12" s="42">
        <f t="shared" si="36"/>
        <v>1081330.97</v>
      </c>
      <c r="BM12" s="42">
        <f t="shared" si="36"/>
        <v>1081330.97</v>
      </c>
      <c r="BN12" s="42">
        <f t="shared" si="36"/>
        <v>1081330.97</v>
      </c>
      <c r="BO12" s="42">
        <f t="shared" ref="BO12:CT12" si="37">SUM(BO4:BO11)</f>
        <v>1081330.97</v>
      </c>
      <c r="BP12" s="42">
        <f t="shared" si="37"/>
        <v>1081330.97</v>
      </c>
      <c r="BQ12" s="42">
        <f t="shared" si="37"/>
        <v>1081330.97</v>
      </c>
      <c r="BR12" s="42">
        <f t="shared" si="37"/>
        <v>1081330.97</v>
      </c>
      <c r="BS12" s="42">
        <f t="shared" si="37"/>
        <v>1081330.97</v>
      </c>
      <c r="BT12" s="42">
        <f t="shared" si="37"/>
        <v>1081330.97</v>
      </c>
      <c r="BU12" s="42">
        <f t="shared" si="37"/>
        <v>1081330.97</v>
      </c>
      <c r="BV12" s="42">
        <f t="shared" si="37"/>
        <v>1081330.97</v>
      </c>
      <c r="BW12" s="42">
        <f t="shared" si="37"/>
        <v>1081330.97</v>
      </c>
      <c r="BX12" s="42">
        <f t="shared" si="37"/>
        <v>1081330.97</v>
      </c>
      <c r="BY12" s="42">
        <f t="shared" si="37"/>
        <v>1081330.97</v>
      </c>
      <c r="BZ12" s="42">
        <f t="shared" si="37"/>
        <v>1081330.97</v>
      </c>
      <c r="CA12" s="42">
        <f t="shared" si="37"/>
        <v>1081330.97</v>
      </c>
      <c r="CB12" s="42">
        <f t="shared" si="37"/>
        <v>1081330.97</v>
      </c>
      <c r="CC12" s="42">
        <f t="shared" si="37"/>
        <v>1081330.97</v>
      </c>
      <c r="CD12" s="42">
        <f t="shared" si="37"/>
        <v>1081330.97</v>
      </c>
      <c r="CE12" s="42">
        <f t="shared" si="37"/>
        <v>1081330.97</v>
      </c>
      <c r="CF12" s="42">
        <f t="shared" si="37"/>
        <v>1081330.97</v>
      </c>
      <c r="CG12" s="42">
        <f t="shared" si="37"/>
        <v>1081330.97</v>
      </c>
      <c r="CH12" s="42">
        <f t="shared" si="37"/>
        <v>1081330.97</v>
      </c>
      <c r="CI12" s="42">
        <f t="shared" si="37"/>
        <v>1081330.97</v>
      </c>
      <c r="CJ12" s="42">
        <f t="shared" si="37"/>
        <v>1081330.97</v>
      </c>
      <c r="CK12" s="42">
        <f t="shared" si="37"/>
        <v>1081330.97</v>
      </c>
      <c r="CL12" s="42">
        <f t="shared" si="37"/>
        <v>1081330.97</v>
      </c>
      <c r="CM12" s="42">
        <f t="shared" si="37"/>
        <v>1081330.97</v>
      </c>
      <c r="CN12" s="42">
        <f t="shared" si="37"/>
        <v>1081330.97</v>
      </c>
      <c r="CO12" s="42">
        <f t="shared" si="37"/>
        <v>1081330.97</v>
      </c>
      <c r="CP12" s="42">
        <f t="shared" si="37"/>
        <v>1081330.97</v>
      </c>
      <c r="CQ12" s="42">
        <f t="shared" si="37"/>
        <v>1081330.97</v>
      </c>
      <c r="CR12" s="42">
        <f t="shared" si="37"/>
        <v>1081330.97</v>
      </c>
      <c r="CS12" s="42">
        <f t="shared" si="37"/>
        <v>1081330.97</v>
      </c>
      <c r="CT12" s="42">
        <f t="shared" si="37"/>
        <v>1081330.97</v>
      </c>
      <c r="CU12" s="42">
        <f t="shared" ref="CU12:DZ12" si="38">SUM(CU4:CU11)</f>
        <v>1081330.97</v>
      </c>
      <c r="CV12" s="42">
        <f t="shared" si="38"/>
        <v>1081330.97</v>
      </c>
      <c r="CW12" s="42">
        <f t="shared" si="38"/>
        <v>1081330.97</v>
      </c>
      <c r="CX12" s="42">
        <f t="shared" si="38"/>
        <v>1081330.97</v>
      </c>
      <c r="CY12" s="42">
        <f t="shared" si="38"/>
        <v>1081330.97</v>
      </c>
      <c r="CZ12" s="42">
        <f t="shared" si="38"/>
        <v>1081330.97</v>
      </c>
      <c r="DA12" s="42">
        <f t="shared" si="38"/>
        <v>1081330.97</v>
      </c>
      <c r="DB12" s="42">
        <f t="shared" si="38"/>
        <v>1081330.97</v>
      </c>
      <c r="DC12" s="42">
        <f t="shared" si="38"/>
        <v>1081330.97</v>
      </c>
      <c r="DD12" s="42">
        <f t="shared" si="38"/>
        <v>1081330.97</v>
      </c>
      <c r="DE12" s="42">
        <f t="shared" si="38"/>
        <v>1081330.97</v>
      </c>
      <c r="DF12" s="42">
        <f t="shared" si="38"/>
        <v>1081330.97</v>
      </c>
      <c r="DG12" s="42">
        <f t="shared" si="38"/>
        <v>1081330.97</v>
      </c>
      <c r="DH12" s="42">
        <f t="shared" si="38"/>
        <v>1081330.97</v>
      </c>
      <c r="DI12" s="42">
        <f t="shared" si="38"/>
        <v>1081330.97</v>
      </c>
      <c r="DJ12" s="42">
        <f t="shared" si="38"/>
        <v>1081330.97</v>
      </c>
      <c r="DK12" s="42">
        <f t="shared" si="38"/>
        <v>1081330.97</v>
      </c>
      <c r="DL12" s="42">
        <f t="shared" si="38"/>
        <v>1081330.97</v>
      </c>
      <c r="DM12" s="42">
        <f t="shared" si="38"/>
        <v>1081330.97</v>
      </c>
      <c r="DN12" s="42">
        <f t="shared" si="38"/>
        <v>1081330.97</v>
      </c>
      <c r="DO12" s="42">
        <f t="shared" si="38"/>
        <v>1081330.97</v>
      </c>
      <c r="DP12" s="42">
        <f t="shared" si="38"/>
        <v>1081330.97</v>
      </c>
      <c r="DQ12" s="42">
        <f t="shared" si="38"/>
        <v>1081330.97</v>
      </c>
      <c r="DR12" s="42">
        <f t="shared" si="38"/>
        <v>1081330.97</v>
      </c>
      <c r="DS12" s="42">
        <f t="shared" si="38"/>
        <v>1081330.97</v>
      </c>
      <c r="DT12" s="42">
        <f t="shared" si="38"/>
        <v>1081330.97</v>
      </c>
      <c r="DU12" s="42">
        <f t="shared" si="38"/>
        <v>1081330.97</v>
      </c>
      <c r="DV12" s="42">
        <f t="shared" si="38"/>
        <v>1081330.97</v>
      </c>
      <c r="DW12" s="42">
        <f t="shared" si="38"/>
        <v>1081330.97</v>
      </c>
      <c r="DX12" s="42">
        <f t="shared" si="38"/>
        <v>1081330.97</v>
      </c>
      <c r="DY12" s="42">
        <f t="shared" si="38"/>
        <v>1081330.97</v>
      </c>
      <c r="DZ12" s="42">
        <f t="shared" si="38"/>
        <v>1081330.97</v>
      </c>
      <c r="EA12" s="42">
        <f t="shared" ref="EA12:EQ12" si="39">SUM(EA4:EA11)</f>
        <v>1081330.97</v>
      </c>
      <c r="EB12" s="42">
        <f t="shared" si="39"/>
        <v>1081330.97</v>
      </c>
      <c r="EC12" s="42">
        <f t="shared" si="39"/>
        <v>1081330.97</v>
      </c>
      <c r="ED12" s="42">
        <f t="shared" si="39"/>
        <v>1081330.97</v>
      </c>
      <c r="EE12" s="42">
        <f t="shared" si="39"/>
        <v>1081330.97</v>
      </c>
      <c r="EF12" s="42">
        <f t="shared" si="39"/>
        <v>1081330.97</v>
      </c>
      <c r="EG12" s="42">
        <f t="shared" si="39"/>
        <v>1081330.97</v>
      </c>
      <c r="EH12" s="42">
        <f t="shared" si="39"/>
        <v>1081330.97</v>
      </c>
      <c r="EI12" s="42">
        <f t="shared" si="39"/>
        <v>1081330.97</v>
      </c>
      <c r="EJ12" s="42">
        <f t="shared" si="39"/>
        <v>1081330.97</v>
      </c>
      <c r="EK12" s="42">
        <f t="shared" si="39"/>
        <v>1081330.97</v>
      </c>
      <c r="EL12" s="42">
        <f t="shared" si="39"/>
        <v>1081330.97</v>
      </c>
      <c r="EM12" s="42">
        <f t="shared" si="39"/>
        <v>1081330.97</v>
      </c>
      <c r="EN12" s="42">
        <f t="shared" si="39"/>
        <v>1081330.97</v>
      </c>
      <c r="EO12" s="42">
        <f t="shared" si="39"/>
        <v>1081330.97</v>
      </c>
      <c r="EP12" s="42">
        <f t="shared" si="39"/>
        <v>1081330.97</v>
      </c>
      <c r="EQ12" s="42">
        <f t="shared" si="39"/>
        <v>1081330.97</v>
      </c>
    </row>
    <row r="13" spans="1:147" x14ac:dyDescent="0.3">
      <c r="BE13" s="41"/>
    </row>
    <row r="14" spans="1:147" x14ac:dyDescent="0.3">
      <c r="BE14" s="41"/>
    </row>
    <row r="15" spans="1:147" x14ac:dyDescent="0.3">
      <c r="A15" s="40" t="s">
        <v>17</v>
      </c>
      <c r="B15" s="44"/>
      <c r="BE15" s="41"/>
    </row>
    <row r="16" spans="1:147" x14ac:dyDescent="0.3">
      <c r="BE16" s="41"/>
    </row>
    <row r="17" spans="1:147" s="43" customFormat="1" x14ac:dyDescent="0.3">
      <c r="B17" s="42"/>
      <c r="C17" s="43">
        <f>C3</f>
        <v>44439</v>
      </c>
      <c r="D17" s="43">
        <f t="shared" ref="D17:AI17" si="40">EOMONTH(C17,1)</f>
        <v>44469</v>
      </c>
      <c r="E17" s="43">
        <f t="shared" si="40"/>
        <v>44500</v>
      </c>
      <c r="F17" s="43">
        <f t="shared" si="40"/>
        <v>44530</v>
      </c>
      <c r="G17" s="43">
        <f t="shared" si="40"/>
        <v>44561</v>
      </c>
      <c r="H17" s="43">
        <f t="shared" si="40"/>
        <v>44592</v>
      </c>
      <c r="I17" s="43">
        <f t="shared" si="40"/>
        <v>44620</v>
      </c>
      <c r="J17" s="43">
        <f t="shared" si="40"/>
        <v>44651</v>
      </c>
      <c r="K17" s="43">
        <f t="shared" si="40"/>
        <v>44681</v>
      </c>
      <c r="L17" s="43">
        <f t="shared" si="40"/>
        <v>44712</v>
      </c>
      <c r="M17" s="43">
        <f t="shared" si="40"/>
        <v>44742</v>
      </c>
      <c r="N17" s="43">
        <f t="shared" si="40"/>
        <v>44773</v>
      </c>
      <c r="O17" s="43">
        <f t="shared" si="40"/>
        <v>44804</v>
      </c>
      <c r="P17" s="43">
        <f t="shared" si="40"/>
        <v>44834</v>
      </c>
      <c r="Q17" s="43">
        <f t="shared" si="40"/>
        <v>44865</v>
      </c>
      <c r="R17" s="43">
        <f t="shared" si="40"/>
        <v>44895</v>
      </c>
      <c r="S17" s="43">
        <f t="shared" si="40"/>
        <v>44926</v>
      </c>
      <c r="T17" s="43">
        <f t="shared" si="40"/>
        <v>44957</v>
      </c>
      <c r="U17" s="43">
        <f t="shared" si="40"/>
        <v>44985</v>
      </c>
      <c r="V17" s="43">
        <f t="shared" si="40"/>
        <v>45016</v>
      </c>
      <c r="W17" s="43">
        <f t="shared" si="40"/>
        <v>45046</v>
      </c>
      <c r="X17" s="43">
        <f t="shared" si="40"/>
        <v>45077</v>
      </c>
      <c r="Y17" s="43">
        <f t="shared" si="40"/>
        <v>45107</v>
      </c>
      <c r="Z17" s="43">
        <f t="shared" si="40"/>
        <v>45138</v>
      </c>
      <c r="AA17" s="43">
        <f t="shared" si="40"/>
        <v>45169</v>
      </c>
      <c r="AB17" s="43">
        <f t="shared" si="40"/>
        <v>45199</v>
      </c>
      <c r="AC17" s="43">
        <f t="shared" si="40"/>
        <v>45230</v>
      </c>
      <c r="AD17" s="43">
        <f t="shared" si="40"/>
        <v>45260</v>
      </c>
      <c r="AE17" s="43">
        <f t="shared" si="40"/>
        <v>45291</v>
      </c>
      <c r="AF17" s="43">
        <f t="shared" si="40"/>
        <v>45322</v>
      </c>
      <c r="AG17" s="43">
        <f t="shared" si="40"/>
        <v>45351</v>
      </c>
      <c r="AH17" s="43">
        <f t="shared" si="40"/>
        <v>45382</v>
      </c>
      <c r="AI17" s="43">
        <f t="shared" si="40"/>
        <v>45412</v>
      </c>
      <c r="AJ17" s="43">
        <f t="shared" ref="AJ17:BO17" si="41">EOMONTH(AI17,1)</f>
        <v>45443</v>
      </c>
      <c r="AK17" s="43">
        <f t="shared" si="41"/>
        <v>45473</v>
      </c>
      <c r="AL17" s="43">
        <f t="shared" si="41"/>
        <v>45504</v>
      </c>
      <c r="AM17" s="43">
        <f t="shared" si="41"/>
        <v>45535</v>
      </c>
      <c r="AN17" s="43">
        <f t="shared" si="41"/>
        <v>45565</v>
      </c>
      <c r="AO17" s="43">
        <f t="shared" si="41"/>
        <v>45596</v>
      </c>
      <c r="AP17" s="43">
        <f t="shared" si="41"/>
        <v>45626</v>
      </c>
      <c r="AQ17" s="43">
        <f t="shared" si="41"/>
        <v>45657</v>
      </c>
      <c r="AR17" s="199">
        <f t="shared" si="41"/>
        <v>45688</v>
      </c>
      <c r="AS17" s="199">
        <f t="shared" si="41"/>
        <v>45716</v>
      </c>
      <c r="AT17" s="199">
        <f t="shared" si="41"/>
        <v>45747</v>
      </c>
      <c r="AU17" s="199">
        <f t="shared" si="41"/>
        <v>45777</v>
      </c>
      <c r="AV17" s="199">
        <f t="shared" si="41"/>
        <v>45808</v>
      </c>
      <c r="AW17" s="199">
        <f t="shared" si="41"/>
        <v>45838</v>
      </c>
      <c r="AX17" s="199">
        <f t="shared" si="41"/>
        <v>45869</v>
      </c>
      <c r="AY17" s="199">
        <f t="shared" si="41"/>
        <v>45900</v>
      </c>
      <c r="AZ17" s="199">
        <f t="shared" si="41"/>
        <v>45930</v>
      </c>
      <c r="BA17" s="199">
        <f t="shared" si="41"/>
        <v>45961</v>
      </c>
      <c r="BB17" s="199">
        <f t="shared" si="41"/>
        <v>45991</v>
      </c>
      <c r="BC17" s="199">
        <f t="shared" si="41"/>
        <v>46022</v>
      </c>
      <c r="BD17" s="43">
        <f t="shared" si="41"/>
        <v>46053</v>
      </c>
      <c r="BE17" s="43">
        <f t="shared" si="41"/>
        <v>46081</v>
      </c>
      <c r="BF17" s="43">
        <f t="shared" si="41"/>
        <v>46112</v>
      </c>
      <c r="BG17" s="43">
        <f t="shared" si="41"/>
        <v>46142</v>
      </c>
      <c r="BH17" s="43">
        <f t="shared" si="41"/>
        <v>46173</v>
      </c>
      <c r="BI17" s="43">
        <f t="shared" si="41"/>
        <v>46203</v>
      </c>
      <c r="BJ17" s="43">
        <f t="shared" si="41"/>
        <v>46234</v>
      </c>
      <c r="BK17" s="43">
        <f t="shared" si="41"/>
        <v>46265</v>
      </c>
      <c r="BL17" s="43">
        <f t="shared" si="41"/>
        <v>46295</v>
      </c>
      <c r="BM17" s="43">
        <f t="shared" si="41"/>
        <v>46326</v>
      </c>
      <c r="BN17" s="43">
        <f t="shared" si="41"/>
        <v>46356</v>
      </c>
      <c r="BO17" s="43">
        <f t="shared" si="41"/>
        <v>46387</v>
      </c>
      <c r="BP17" s="43">
        <f t="shared" ref="BP17:CU17" si="42">EOMONTH(BO17,1)</f>
        <v>46418</v>
      </c>
      <c r="BQ17" s="43">
        <f t="shared" si="42"/>
        <v>46446</v>
      </c>
      <c r="BR17" s="43">
        <f t="shared" si="42"/>
        <v>46477</v>
      </c>
      <c r="BS17" s="43">
        <f t="shared" si="42"/>
        <v>46507</v>
      </c>
      <c r="BT17" s="43">
        <f t="shared" si="42"/>
        <v>46538</v>
      </c>
      <c r="BU17" s="43">
        <f t="shared" si="42"/>
        <v>46568</v>
      </c>
      <c r="BV17" s="43">
        <f t="shared" si="42"/>
        <v>46599</v>
      </c>
      <c r="BW17" s="43">
        <f t="shared" si="42"/>
        <v>46630</v>
      </c>
      <c r="BX17" s="43">
        <f t="shared" si="42"/>
        <v>46660</v>
      </c>
      <c r="BY17" s="43">
        <f t="shared" si="42"/>
        <v>46691</v>
      </c>
      <c r="BZ17" s="43">
        <f t="shared" si="42"/>
        <v>46721</v>
      </c>
      <c r="CA17" s="43">
        <f t="shared" si="42"/>
        <v>46752</v>
      </c>
      <c r="CB17" s="43">
        <f t="shared" si="42"/>
        <v>46783</v>
      </c>
      <c r="CC17" s="43">
        <f t="shared" si="42"/>
        <v>46812</v>
      </c>
      <c r="CD17" s="43">
        <f t="shared" si="42"/>
        <v>46843</v>
      </c>
      <c r="CE17" s="43">
        <f t="shared" si="42"/>
        <v>46873</v>
      </c>
      <c r="CF17" s="43">
        <f t="shared" si="42"/>
        <v>46904</v>
      </c>
      <c r="CG17" s="43">
        <f t="shared" si="42"/>
        <v>46934</v>
      </c>
      <c r="CH17" s="43">
        <f t="shared" si="42"/>
        <v>46965</v>
      </c>
      <c r="CI17" s="43">
        <f t="shared" si="42"/>
        <v>46996</v>
      </c>
      <c r="CJ17" s="43">
        <f t="shared" si="42"/>
        <v>47026</v>
      </c>
      <c r="CK17" s="43">
        <f t="shared" si="42"/>
        <v>47057</v>
      </c>
      <c r="CL17" s="43">
        <f t="shared" si="42"/>
        <v>47087</v>
      </c>
      <c r="CM17" s="43">
        <f t="shared" si="42"/>
        <v>47118</v>
      </c>
      <c r="CN17" s="43">
        <f t="shared" si="42"/>
        <v>47149</v>
      </c>
      <c r="CO17" s="43">
        <f t="shared" si="42"/>
        <v>47177</v>
      </c>
      <c r="CP17" s="43">
        <f t="shared" si="42"/>
        <v>47208</v>
      </c>
      <c r="CQ17" s="43">
        <f t="shared" si="42"/>
        <v>47238</v>
      </c>
      <c r="CR17" s="43">
        <f t="shared" si="42"/>
        <v>47269</v>
      </c>
      <c r="CS17" s="43">
        <f t="shared" si="42"/>
        <v>47299</v>
      </c>
      <c r="CT17" s="43">
        <f t="shared" si="42"/>
        <v>47330</v>
      </c>
      <c r="CU17" s="43">
        <f t="shared" si="42"/>
        <v>47361</v>
      </c>
      <c r="CV17" s="43">
        <f t="shared" ref="CV17:EA17" si="43">EOMONTH(CU17,1)</f>
        <v>47391</v>
      </c>
      <c r="CW17" s="43">
        <f t="shared" si="43"/>
        <v>47422</v>
      </c>
      <c r="CX17" s="43">
        <f t="shared" si="43"/>
        <v>47452</v>
      </c>
      <c r="CY17" s="43">
        <f t="shared" si="43"/>
        <v>47483</v>
      </c>
      <c r="CZ17" s="43">
        <f t="shared" si="43"/>
        <v>47514</v>
      </c>
      <c r="DA17" s="43">
        <f t="shared" si="43"/>
        <v>47542</v>
      </c>
      <c r="DB17" s="43">
        <f t="shared" si="43"/>
        <v>47573</v>
      </c>
      <c r="DC17" s="43">
        <f t="shared" si="43"/>
        <v>47603</v>
      </c>
      <c r="DD17" s="43">
        <f t="shared" si="43"/>
        <v>47634</v>
      </c>
      <c r="DE17" s="43">
        <f t="shared" si="43"/>
        <v>47664</v>
      </c>
      <c r="DF17" s="43">
        <f t="shared" si="43"/>
        <v>47695</v>
      </c>
      <c r="DG17" s="43">
        <f t="shared" si="43"/>
        <v>47726</v>
      </c>
      <c r="DH17" s="43">
        <f t="shared" si="43"/>
        <v>47756</v>
      </c>
      <c r="DI17" s="43">
        <f t="shared" si="43"/>
        <v>47787</v>
      </c>
      <c r="DJ17" s="43">
        <f t="shared" si="43"/>
        <v>47817</v>
      </c>
      <c r="DK17" s="43">
        <f t="shared" si="43"/>
        <v>47848</v>
      </c>
      <c r="DL17" s="43">
        <f t="shared" si="43"/>
        <v>47879</v>
      </c>
      <c r="DM17" s="43">
        <f t="shared" si="43"/>
        <v>47907</v>
      </c>
      <c r="DN17" s="43">
        <f t="shared" si="43"/>
        <v>47938</v>
      </c>
      <c r="DO17" s="43">
        <f t="shared" si="43"/>
        <v>47968</v>
      </c>
      <c r="DP17" s="43">
        <f t="shared" si="43"/>
        <v>47999</v>
      </c>
      <c r="DQ17" s="43">
        <f t="shared" si="43"/>
        <v>48029</v>
      </c>
      <c r="DR17" s="43">
        <f t="shared" si="43"/>
        <v>48060</v>
      </c>
      <c r="DS17" s="43">
        <f t="shared" si="43"/>
        <v>48091</v>
      </c>
      <c r="DT17" s="43">
        <f t="shared" si="43"/>
        <v>48121</v>
      </c>
      <c r="DU17" s="43">
        <f t="shared" si="43"/>
        <v>48152</v>
      </c>
      <c r="DV17" s="43">
        <f t="shared" si="43"/>
        <v>48182</v>
      </c>
      <c r="DW17" s="43">
        <f t="shared" si="43"/>
        <v>48213</v>
      </c>
      <c r="DX17" s="43">
        <f t="shared" si="43"/>
        <v>48244</v>
      </c>
      <c r="DY17" s="43">
        <f t="shared" si="43"/>
        <v>48273</v>
      </c>
      <c r="DZ17" s="43">
        <f t="shared" si="43"/>
        <v>48304</v>
      </c>
      <c r="EA17" s="43">
        <f t="shared" si="43"/>
        <v>48334</v>
      </c>
      <c r="EB17" s="43">
        <f t="shared" ref="EB17:EQ17" si="44">EOMONTH(EA17,1)</f>
        <v>48365</v>
      </c>
      <c r="EC17" s="43">
        <f t="shared" si="44"/>
        <v>48395</v>
      </c>
      <c r="ED17" s="43">
        <f t="shared" si="44"/>
        <v>48426</v>
      </c>
      <c r="EE17" s="43">
        <f t="shared" si="44"/>
        <v>48457</v>
      </c>
      <c r="EF17" s="43">
        <f t="shared" si="44"/>
        <v>48487</v>
      </c>
      <c r="EG17" s="43">
        <f t="shared" si="44"/>
        <v>48518</v>
      </c>
      <c r="EH17" s="43">
        <f t="shared" si="44"/>
        <v>48548</v>
      </c>
      <c r="EI17" s="43">
        <f t="shared" si="44"/>
        <v>48579</v>
      </c>
      <c r="EJ17" s="43">
        <f t="shared" si="44"/>
        <v>48610</v>
      </c>
      <c r="EK17" s="43">
        <f t="shared" si="44"/>
        <v>48638</v>
      </c>
      <c r="EL17" s="43">
        <f t="shared" si="44"/>
        <v>48669</v>
      </c>
      <c r="EM17" s="43">
        <f t="shared" si="44"/>
        <v>48699</v>
      </c>
      <c r="EN17" s="43">
        <f t="shared" si="44"/>
        <v>48730</v>
      </c>
      <c r="EO17" s="43">
        <f t="shared" si="44"/>
        <v>48760</v>
      </c>
      <c r="EP17" s="43">
        <f t="shared" si="44"/>
        <v>48791</v>
      </c>
      <c r="EQ17" s="43">
        <f t="shared" si="44"/>
        <v>48822</v>
      </c>
    </row>
    <row r="18" spans="1:147" s="43" customFormat="1" x14ac:dyDescent="0.3">
      <c r="A18" s="41" t="s">
        <v>128</v>
      </c>
      <c r="B18" s="42"/>
      <c r="C18" s="47">
        <f>IFERROR(C4/(12*$B4),0)+5538.67</f>
        <v>6329.9080952380955</v>
      </c>
      <c r="D18" s="47">
        <f t="shared" ref="D18:AI18" si="45">IFERROR(D4/(12*$B4),0)</f>
        <v>791.23809523809518</v>
      </c>
      <c r="E18" s="47">
        <f t="shared" si="45"/>
        <v>791.23809523809518</v>
      </c>
      <c r="F18" s="47">
        <f t="shared" si="45"/>
        <v>791.23809523809518</v>
      </c>
      <c r="G18" s="47">
        <f t="shared" si="45"/>
        <v>791.23809523809518</v>
      </c>
      <c r="H18" s="47">
        <f t="shared" si="45"/>
        <v>791.23809523809518</v>
      </c>
      <c r="I18" s="47">
        <f t="shared" si="45"/>
        <v>791.23809523809518</v>
      </c>
      <c r="J18" s="47">
        <f t="shared" si="45"/>
        <v>791.23809523809518</v>
      </c>
      <c r="K18" s="47">
        <f t="shared" si="45"/>
        <v>791.23809523809518</v>
      </c>
      <c r="L18" s="47">
        <f t="shared" si="45"/>
        <v>791.23809523809518</v>
      </c>
      <c r="M18" s="47">
        <f t="shared" si="45"/>
        <v>791.23809523809518</v>
      </c>
      <c r="N18" s="47">
        <f t="shared" si="45"/>
        <v>791.23809523809518</v>
      </c>
      <c r="O18" s="47">
        <f t="shared" si="45"/>
        <v>791.23809523809518</v>
      </c>
      <c r="P18" s="47">
        <f t="shared" si="45"/>
        <v>791.23809523809518</v>
      </c>
      <c r="Q18" s="47">
        <f t="shared" si="45"/>
        <v>791.23809523809518</v>
      </c>
      <c r="R18" s="47">
        <f t="shared" si="45"/>
        <v>791.23809523809518</v>
      </c>
      <c r="S18" s="47">
        <f t="shared" si="45"/>
        <v>791.23809523809518</v>
      </c>
      <c r="T18" s="47">
        <f t="shared" si="45"/>
        <v>791.23809523809518</v>
      </c>
      <c r="U18" s="47">
        <f t="shared" si="45"/>
        <v>791.23809523809518</v>
      </c>
      <c r="V18" s="47">
        <f t="shared" si="45"/>
        <v>791.23809523809518</v>
      </c>
      <c r="W18" s="47">
        <f t="shared" si="45"/>
        <v>791.23809523809518</v>
      </c>
      <c r="X18" s="47">
        <f t="shared" si="45"/>
        <v>791.23809523809518</v>
      </c>
      <c r="Y18" s="47">
        <f t="shared" si="45"/>
        <v>791.23809523809518</v>
      </c>
      <c r="Z18" s="47">
        <f t="shared" si="45"/>
        <v>791.23809523809518</v>
      </c>
      <c r="AA18" s="47">
        <f t="shared" si="45"/>
        <v>791.23809523809518</v>
      </c>
      <c r="AB18" s="47">
        <f t="shared" si="45"/>
        <v>791.23809523809518</v>
      </c>
      <c r="AC18" s="47">
        <f t="shared" si="45"/>
        <v>791.23809523809518</v>
      </c>
      <c r="AD18" s="47">
        <f t="shared" si="45"/>
        <v>791.23809523809518</v>
      </c>
      <c r="AE18" s="47">
        <f t="shared" si="45"/>
        <v>791.23809523809518</v>
      </c>
      <c r="AF18" s="47">
        <f t="shared" si="45"/>
        <v>791.23809523809518</v>
      </c>
      <c r="AG18" s="47">
        <f t="shared" si="45"/>
        <v>791.23809523809518</v>
      </c>
      <c r="AH18" s="47">
        <f t="shared" si="45"/>
        <v>791.23809523809518</v>
      </c>
      <c r="AI18" s="47">
        <f t="shared" si="45"/>
        <v>791.23809523809518</v>
      </c>
      <c r="AJ18" s="47">
        <f t="shared" ref="AJ18:BO18" si="46">IFERROR(AJ4/(12*$B4),0)</f>
        <v>791.23809523809518</v>
      </c>
      <c r="AK18" s="47">
        <f t="shared" si="46"/>
        <v>791.23809523809518</v>
      </c>
      <c r="AL18" s="47">
        <f t="shared" si="46"/>
        <v>791.23809523809518</v>
      </c>
      <c r="AM18" s="47">
        <f t="shared" si="46"/>
        <v>791.23809523809518</v>
      </c>
      <c r="AN18" s="47">
        <f t="shared" si="46"/>
        <v>791.23809523809518</v>
      </c>
      <c r="AO18" s="47">
        <f t="shared" si="46"/>
        <v>791.23809523809518</v>
      </c>
      <c r="AP18" s="47">
        <f t="shared" si="46"/>
        <v>791.23809523809518</v>
      </c>
      <c r="AQ18" s="47">
        <f t="shared" si="46"/>
        <v>791.23809523809518</v>
      </c>
      <c r="AR18" s="203">
        <f t="shared" si="46"/>
        <v>791.23809523809518</v>
      </c>
      <c r="AS18" s="203">
        <f t="shared" si="46"/>
        <v>791.23809523809518</v>
      </c>
      <c r="AT18" s="203">
        <f t="shared" si="46"/>
        <v>791.23809523809518</v>
      </c>
      <c r="AU18" s="203">
        <f t="shared" si="46"/>
        <v>791.23809523809518</v>
      </c>
      <c r="AV18" s="203">
        <f t="shared" si="46"/>
        <v>791.23809523809518</v>
      </c>
      <c r="AW18" s="203">
        <f t="shared" si="46"/>
        <v>791.23809523809518</v>
      </c>
      <c r="AX18" s="203">
        <f t="shared" si="46"/>
        <v>791.23809523809518</v>
      </c>
      <c r="AY18" s="203">
        <f t="shared" si="46"/>
        <v>791.23809523809518</v>
      </c>
      <c r="AZ18" s="203">
        <f t="shared" si="46"/>
        <v>791.23809523809518</v>
      </c>
      <c r="BA18" s="203">
        <f t="shared" si="46"/>
        <v>791.23809523809518</v>
      </c>
      <c r="BB18" s="203">
        <f t="shared" si="46"/>
        <v>791.23809523809518</v>
      </c>
      <c r="BC18" s="203">
        <f t="shared" si="46"/>
        <v>791.23809523809518</v>
      </c>
      <c r="BD18" s="47">
        <f t="shared" si="46"/>
        <v>791.23809523809518</v>
      </c>
      <c r="BE18" s="47">
        <f t="shared" si="46"/>
        <v>791.23809523809518</v>
      </c>
      <c r="BF18" s="47">
        <f t="shared" si="46"/>
        <v>791.23809523809518</v>
      </c>
      <c r="BG18" s="47">
        <f t="shared" si="46"/>
        <v>791.23809523809518</v>
      </c>
      <c r="BH18" s="47">
        <f t="shared" si="46"/>
        <v>791.23809523809518</v>
      </c>
      <c r="BI18" s="47">
        <f t="shared" si="46"/>
        <v>791.23809523809518</v>
      </c>
      <c r="BJ18" s="47">
        <f t="shared" si="46"/>
        <v>791.23809523809518</v>
      </c>
      <c r="BK18" s="47">
        <f t="shared" si="46"/>
        <v>791.23809523809518</v>
      </c>
      <c r="BL18" s="47">
        <f t="shared" si="46"/>
        <v>791.23809523809518</v>
      </c>
      <c r="BM18" s="47">
        <f t="shared" si="46"/>
        <v>791.23809523809518</v>
      </c>
      <c r="BN18" s="47">
        <f t="shared" si="46"/>
        <v>791.23809523809518</v>
      </c>
      <c r="BO18" s="47">
        <f t="shared" si="46"/>
        <v>791.23809523809518</v>
      </c>
      <c r="BP18" s="47">
        <f t="shared" ref="BP18:CA18" si="47">IFERROR(BP4/(12*$B4),0)</f>
        <v>791.23809523809518</v>
      </c>
      <c r="BQ18" s="47">
        <f t="shared" si="47"/>
        <v>791.23809523809518</v>
      </c>
      <c r="BR18" s="47">
        <f t="shared" si="47"/>
        <v>791.23809523809518</v>
      </c>
      <c r="BS18" s="47">
        <f t="shared" si="47"/>
        <v>791.23809523809518</v>
      </c>
      <c r="BT18" s="47">
        <f t="shared" si="47"/>
        <v>791.23809523809518</v>
      </c>
      <c r="BU18" s="47">
        <f t="shared" si="47"/>
        <v>791.23809523809518</v>
      </c>
      <c r="BV18" s="47">
        <f t="shared" si="47"/>
        <v>791.23809523809518</v>
      </c>
      <c r="BW18" s="47">
        <f t="shared" si="47"/>
        <v>791.23809523809518</v>
      </c>
      <c r="BX18" s="47">
        <f t="shared" si="47"/>
        <v>791.23809523809518</v>
      </c>
      <c r="BY18" s="47">
        <f t="shared" si="47"/>
        <v>791.23809523809518</v>
      </c>
      <c r="BZ18" s="47">
        <f t="shared" si="47"/>
        <v>791.23809523809518</v>
      </c>
      <c r="CA18" s="47">
        <f t="shared" si="47"/>
        <v>791.23809523809518</v>
      </c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</row>
    <row r="19" spans="1:147" s="43" customFormat="1" x14ac:dyDescent="0.3">
      <c r="A19" s="207" t="s">
        <v>129</v>
      </c>
      <c r="B19" s="42"/>
      <c r="C19" s="200">
        <v>6190.47</v>
      </c>
      <c r="D19" s="47">
        <f t="shared" ref="D19:AI19" si="48">IFERROR(D5/(12*$B5),0)</f>
        <v>773.80952380952385</v>
      </c>
      <c r="E19" s="47">
        <f t="shared" si="48"/>
        <v>773.80952380952385</v>
      </c>
      <c r="F19" s="47">
        <f t="shared" si="48"/>
        <v>773.80952380952385</v>
      </c>
      <c r="G19" s="47">
        <f t="shared" si="48"/>
        <v>773.80952380952385</v>
      </c>
      <c r="H19" s="47">
        <f t="shared" si="48"/>
        <v>773.80952380952385</v>
      </c>
      <c r="I19" s="47">
        <f t="shared" si="48"/>
        <v>773.80952380952385</v>
      </c>
      <c r="J19" s="47">
        <f t="shared" si="48"/>
        <v>773.80952380952385</v>
      </c>
      <c r="K19" s="47">
        <f t="shared" si="48"/>
        <v>773.80952380952385</v>
      </c>
      <c r="L19" s="47">
        <f t="shared" si="48"/>
        <v>773.80952380952385</v>
      </c>
      <c r="M19" s="47">
        <f t="shared" si="48"/>
        <v>773.80952380952385</v>
      </c>
      <c r="N19" s="47">
        <f t="shared" si="48"/>
        <v>773.80952380952385</v>
      </c>
      <c r="O19" s="47">
        <f t="shared" si="48"/>
        <v>773.80952380952385</v>
      </c>
      <c r="P19" s="47">
        <f t="shared" si="48"/>
        <v>773.80952380952385</v>
      </c>
      <c r="Q19" s="47">
        <f t="shared" si="48"/>
        <v>773.80952380952385</v>
      </c>
      <c r="R19" s="47">
        <f t="shared" si="48"/>
        <v>773.80952380952385</v>
      </c>
      <c r="S19" s="47">
        <f t="shared" si="48"/>
        <v>773.80952380952385</v>
      </c>
      <c r="T19" s="47">
        <f t="shared" si="48"/>
        <v>773.80952380952385</v>
      </c>
      <c r="U19" s="47">
        <f t="shared" si="48"/>
        <v>773.80952380952385</v>
      </c>
      <c r="V19" s="47">
        <f t="shared" si="48"/>
        <v>773.80952380952385</v>
      </c>
      <c r="W19" s="47">
        <f t="shared" si="48"/>
        <v>773.80952380952385</v>
      </c>
      <c r="X19" s="47">
        <f t="shared" si="48"/>
        <v>773.80952380952385</v>
      </c>
      <c r="Y19" s="47">
        <f t="shared" si="48"/>
        <v>773.80952380952385</v>
      </c>
      <c r="Z19" s="47">
        <f t="shared" si="48"/>
        <v>773.80952380952385</v>
      </c>
      <c r="AA19" s="47">
        <f t="shared" si="48"/>
        <v>773.80952380952385</v>
      </c>
      <c r="AB19" s="47">
        <f t="shared" si="48"/>
        <v>773.80952380952385</v>
      </c>
      <c r="AC19" s="47">
        <f t="shared" si="48"/>
        <v>773.80952380952385</v>
      </c>
      <c r="AD19" s="47">
        <f t="shared" si="48"/>
        <v>773.80952380952385</v>
      </c>
      <c r="AE19" s="47">
        <f t="shared" si="48"/>
        <v>773.80952380952385</v>
      </c>
      <c r="AF19" s="47">
        <f t="shared" si="48"/>
        <v>773.80952380952385</v>
      </c>
      <c r="AG19" s="47">
        <f t="shared" si="48"/>
        <v>773.80952380952385</v>
      </c>
      <c r="AH19" s="47">
        <f t="shared" si="48"/>
        <v>773.80952380952385</v>
      </c>
      <c r="AI19" s="47">
        <f t="shared" si="48"/>
        <v>773.80952380952385</v>
      </c>
      <c r="AJ19" s="47">
        <f t="shared" ref="AJ19:BO19" si="49">IFERROR(AJ5/(12*$B5),0)</f>
        <v>773.80952380952385</v>
      </c>
      <c r="AK19" s="47">
        <f t="shared" si="49"/>
        <v>0</v>
      </c>
      <c r="AL19" s="47">
        <f t="shared" si="49"/>
        <v>0</v>
      </c>
      <c r="AM19" s="47">
        <f t="shared" si="49"/>
        <v>0</v>
      </c>
      <c r="AN19" s="47">
        <f t="shared" si="49"/>
        <v>0</v>
      </c>
      <c r="AO19" s="47">
        <f t="shared" si="49"/>
        <v>0</v>
      </c>
      <c r="AP19" s="47">
        <f t="shared" si="49"/>
        <v>0</v>
      </c>
      <c r="AQ19" s="47">
        <f t="shared" si="49"/>
        <v>0</v>
      </c>
      <c r="AR19" s="203">
        <f t="shared" si="49"/>
        <v>0</v>
      </c>
      <c r="AS19" s="203">
        <f t="shared" si="49"/>
        <v>0</v>
      </c>
      <c r="AT19" s="203">
        <f t="shared" si="49"/>
        <v>0</v>
      </c>
      <c r="AU19" s="203">
        <f t="shared" si="49"/>
        <v>0</v>
      </c>
      <c r="AV19" s="203">
        <f t="shared" si="49"/>
        <v>0</v>
      </c>
      <c r="AW19" s="203">
        <f t="shared" si="49"/>
        <v>0</v>
      </c>
      <c r="AX19" s="203">
        <f t="shared" si="49"/>
        <v>0</v>
      </c>
      <c r="AY19" s="203">
        <f t="shared" si="49"/>
        <v>0</v>
      </c>
      <c r="AZ19" s="203">
        <f t="shared" si="49"/>
        <v>0</v>
      </c>
      <c r="BA19" s="203">
        <f t="shared" si="49"/>
        <v>0</v>
      </c>
      <c r="BB19" s="203">
        <f t="shared" si="49"/>
        <v>0</v>
      </c>
      <c r="BC19" s="203">
        <f t="shared" si="49"/>
        <v>0</v>
      </c>
      <c r="BD19" s="47">
        <f t="shared" si="49"/>
        <v>0</v>
      </c>
      <c r="BE19" s="47">
        <f t="shared" si="49"/>
        <v>0</v>
      </c>
      <c r="BF19" s="47">
        <f t="shared" si="49"/>
        <v>0</v>
      </c>
      <c r="BG19" s="47">
        <f t="shared" si="49"/>
        <v>0</v>
      </c>
      <c r="BH19" s="47">
        <f t="shared" si="49"/>
        <v>0</v>
      </c>
      <c r="BI19" s="47">
        <f t="shared" si="49"/>
        <v>0</v>
      </c>
      <c r="BJ19" s="47">
        <f t="shared" si="49"/>
        <v>0</v>
      </c>
      <c r="BK19" s="47">
        <f t="shared" si="49"/>
        <v>0</v>
      </c>
      <c r="BL19" s="47">
        <f t="shared" si="49"/>
        <v>0</v>
      </c>
      <c r="BM19" s="47">
        <f t="shared" si="49"/>
        <v>0</v>
      </c>
      <c r="BN19" s="47">
        <f t="shared" si="49"/>
        <v>0</v>
      </c>
      <c r="BO19" s="47">
        <f t="shared" si="49"/>
        <v>0</v>
      </c>
      <c r="BP19" s="47">
        <f t="shared" ref="BP19:CA19" si="50">IFERROR(BP5/(12*$B5),0)</f>
        <v>0</v>
      </c>
      <c r="BQ19" s="47">
        <f t="shared" si="50"/>
        <v>0</v>
      </c>
      <c r="BR19" s="47">
        <f t="shared" si="50"/>
        <v>0</v>
      </c>
      <c r="BS19" s="47">
        <f t="shared" si="50"/>
        <v>0</v>
      </c>
      <c r="BT19" s="47">
        <f t="shared" si="50"/>
        <v>0</v>
      </c>
      <c r="BU19" s="47">
        <f t="shared" si="50"/>
        <v>0</v>
      </c>
      <c r="BV19" s="47">
        <f t="shared" si="50"/>
        <v>0</v>
      </c>
      <c r="BW19" s="47">
        <f t="shared" si="50"/>
        <v>0</v>
      </c>
      <c r="BX19" s="47">
        <f t="shared" si="50"/>
        <v>0</v>
      </c>
      <c r="BY19" s="47">
        <f t="shared" si="50"/>
        <v>0</v>
      </c>
      <c r="BZ19" s="47">
        <f t="shared" si="50"/>
        <v>0</v>
      </c>
      <c r="CA19" s="47">
        <f t="shared" si="50"/>
        <v>0</v>
      </c>
      <c r="CB19" s="47">
        <f t="shared" ref="CB19:DG19" si="51">IFERROR(CB5/(12*$B5),0)</f>
        <v>0</v>
      </c>
      <c r="CC19" s="47">
        <f t="shared" si="51"/>
        <v>0</v>
      </c>
      <c r="CD19" s="47">
        <f t="shared" si="51"/>
        <v>0</v>
      </c>
      <c r="CE19" s="47">
        <f t="shared" si="51"/>
        <v>0</v>
      </c>
      <c r="CF19" s="47">
        <f t="shared" si="51"/>
        <v>0</v>
      </c>
      <c r="CG19" s="47">
        <f t="shared" si="51"/>
        <v>0</v>
      </c>
      <c r="CH19" s="47">
        <f t="shared" si="51"/>
        <v>0</v>
      </c>
      <c r="CI19" s="47">
        <f t="shared" si="51"/>
        <v>0</v>
      </c>
      <c r="CJ19" s="47">
        <f t="shared" si="51"/>
        <v>0</v>
      </c>
      <c r="CK19" s="47">
        <f t="shared" si="51"/>
        <v>0</v>
      </c>
      <c r="CL19" s="47">
        <f t="shared" si="51"/>
        <v>0</v>
      </c>
      <c r="CM19" s="47">
        <f t="shared" si="51"/>
        <v>0</v>
      </c>
      <c r="CN19" s="47">
        <f t="shared" si="51"/>
        <v>0</v>
      </c>
      <c r="CO19" s="47">
        <f t="shared" si="51"/>
        <v>0</v>
      </c>
      <c r="CP19" s="47">
        <f t="shared" si="51"/>
        <v>0</v>
      </c>
      <c r="CQ19" s="47">
        <f t="shared" si="51"/>
        <v>0</v>
      </c>
      <c r="CR19" s="47">
        <f t="shared" si="51"/>
        <v>0</v>
      </c>
      <c r="CS19" s="47">
        <f t="shared" si="51"/>
        <v>0</v>
      </c>
      <c r="CT19" s="47">
        <f t="shared" si="51"/>
        <v>0</v>
      </c>
      <c r="CU19" s="47">
        <f t="shared" si="51"/>
        <v>0</v>
      </c>
      <c r="CV19" s="47">
        <f t="shared" si="51"/>
        <v>0</v>
      </c>
      <c r="CW19" s="47">
        <f t="shared" si="51"/>
        <v>0</v>
      </c>
      <c r="CX19" s="47">
        <f t="shared" si="51"/>
        <v>0</v>
      </c>
      <c r="CY19" s="47">
        <f t="shared" si="51"/>
        <v>0</v>
      </c>
      <c r="CZ19" s="47">
        <f t="shared" si="51"/>
        <v>0</v>
      </c>
      <c r="DA19" s="47">
        <f t="shared" si="51"/>
        <v>0</v>
      </c>
      <c r="DB19" s="47">
        <f t="shared" si="51"/>
        <v>0</v>
      </c>
      <c r="DC19" s="47">
        <f t="shared" si="51"/>
        <v>0</v>
      </c>
      <c r="DD19" s="47">
        <f t="shared" si="51"/>
        <v>0</v>
      </c>
      <c r="DE19" s="47">
        <f t="shared" si="51"/>
        <v>0</v>
      </c>
      <c r="DF19" s="47">
        <f t="shared" si="51"/>
        <v>0</v>
      </c>
      <c r="DG19" s="47">
        <f t="shared" si="51"/>
        <v>0</v>
      </c>
      <c r="DH19" s="47">
        <f t="shared" ref="DH19:EQ19" si="52">IFERROR(DH5/(12*$B5),0)</f>
        <v>0</v>
      </c>
      <c r="DI19" s="47">
        <f t="shared" si="52"/>
        <v>0</v>
      </c>
      <c r="DJ19" s="47">
        <f t="shared" si="52"/>
        <v>0</v>
      </c>
      <c r="DK19" s="47">
        <f t="shared" si="52"/>
        <v>0</v>
      </c>
      <c r="DL19" s="47">
        <f t="shared" si="52"/>
        <v>0</v>
      </c>
      <c r="DM19" s="47">
        <f t="shared" si="52"/>
        <v>0</v>
      </c>
      <c r="DN19" s="47">
        <f t="shared" si="52"/>
        <v>0</v>
      </c>
      <c r="DO19" s="47">
        <f t="shared" si="52"/>
        <v>0</v>
      </c>
      <c r="DP19" s="47">
        <f t="shared" si="52"/>
        <v>0</v>
      </c>
      <c r="DQ19" s="47">
        <f t="shared" si="52"/>
        <v>0</v>
      </c>
      <c r="DR19" s="47">
        <f t="shared" si="52"/>
        <v>0</v>
      </c>
      <c r="DS19" s="47">
        <f t="shared" si="52"/>
        <v>0</v>
      </c>
      <c r="DT19" s="47">
        <f t="shared" si="52"/>
        <v>0</v>
      </c>
      <c r="DU19" s="47">
        <f t="shared" si="52"/>
        <v>0</v>
      </c>
      <c r="DV19" s="47">
        <f t="shared" si="52"/>
        <v>0</v>
      </c>
      <c r="DW19" s="47">
        <f t="shared" si="52"/>
        <v>0</v>
      </c>
      <c r="DX19" s="47">
        <f t="shared" si="52"/>
        <v>0</v>
      </c>
      <c r="DY19" s="47">
        <f t="shared" si="52"/>
        <v>0</v>
      </c>
      <c r="DZ19" s="47">
        <f t="shared" si="52"/>
        <v>0</v>
      </c>
      <c r="EA19" s="47">
        <f t="shared" si="52"/>
        <v>0</v>
      </c>
      <c r="EB19" s="47">
        <f t="shared" si="52"/>
        <v>0</v>
      </c>
      <c r="EC19" s="47">
        <f t="shared" si="52"/>
        <v>0</v>
      </c>
      <c r="ED19" s="47">
        <f t="shared" si="52"/>
        <v>0</v>
      </c>
      <c r="EE19" s="47">
        <f t="shared" si="52"/>
        <v>0</v>
      </c>
      <c r="EF19" s="47">
        <f t="shared" si="52"/>
        <v>0</v>
      </c>
      <c r="EG19" s="47">
        <f t="shared" si="52"/>
        <v>0</v>
      </c>
      <c r="EH19" s="47">
        <f t="shared" si="52"/>
        <v>0</v>
      </c>
      <c r="EI19" s="47">
        <f t="shared" si="52"/>
        <v>0</v>
      </c>
      <c r="EJ19" s="47">
        <f t="shared" si="52"/>
        <v>0</v>
      </c>
      <c r="EK19" s="47">
        <f t="shared" si="52"/>
        <v>0</v>
      </c>
      <c r="EL19" s="47">
        <f t="shared" si="52"/>
        <v>0</v>
      </c>
      <c r="EM19" s="47">
        <f t="shared" si="52"/>
        <v>0</v>
      </c>
      <c r="EN19" s="47">
        <f t="shared" si="52"/>
        <v>0</v>
      </c>
      <c r="EO19" s="47">
        <f t="shared" si="52"/>
        <v>0</v>
      </c>
      <c r="EP19" s="47">
        <f t="shared" si="52"/>
        <v>0</v>
      </c>
      <c r="EQ19" s="47">
        <f t="shared" si="52"/>
        <v>0</v>
      </c>
    </row>
    <row r="20" spans="1:147" x14ac:dyDescent="0.3">
      <c r="A20" s="41" t="s">
        <v>130</v>
      </c>
      <c r="C20" s="200"/>
      <c r="D20" s="47">
        <f t="shared" ref="D20:T20" si="53">IFERROR(D6/(12*$B6),0)</f>
        <v>0</v>
      </c>
      <c r="E20" s="47">
        <f t="shared" si="53"/>
        <v>0</v>
      </c>
      <c r="F20" s="47">
        <f t="shared" si="53"/>
        <v>0</v>
      </c>
      <c r="G20" s="47">
        <f t="shared" si="53"/>
        <v>0</v>
      </c>
      <c r="H20" s="47">
        <f t="shared" si="53"/>
        <v>1785.7142857142858</v>
      </c>
      <c r="I20" s="47">
        <f t="shared" si="53"/>
        <v>1785.7142857142858</v>
      </c>
      <c r="J20" s="47">
        <f t="shared" si="53"/>
        <v>1785.7142857142858</v>
      </c>
      <c r="K20" s="47">
        <f t="shared" si="53"/>
        <v>1785.7142857142858</v>
      </c>
      <c r="L20" s="47">
        <f t="shared" si="53"/>
        <v>1785.7142857142858</v>
      </c>
      <c r="M20" s="47">
        <f t="shared" si="53"/>
        <v>1785.7142857142858</v>
      </c>
      <c r="N20" s="47">
        <f t="shared" si="53"/>
        <v>1785.7142857142858</v>
      </c>
      <c r="O20" s="47">
        <f t="shared" si="53"/>
        <v>1785.7142857142858</v>
      </c>
      <c r="P20" s="47">
        <f t="shared" si="53"/>
        <v>1785.7142857142858</v>
      </c>
      <c r="Q20" s="47">
        <f t="shared" si="53"/>
        <v>1785.7142857142858</v>
      </c>
      <c r="R20" s="47">
        <f t="shared" si="53"/>
        <v>1785.7142857142858</v>
      </c>
      <c r="S20" s="47">
        <f t="shared" si="53"/>
        <v>1785.7142857142858</v>
      </c>
      <c r="T20" s="47">
        <f t="shared" si="53"/>
        <v>1785.7142857142858</v>
      </c>
      <c r="U20" s="47">
        <f>IFERROR(U6/(12*$B6),0)+381.77</f>
        <v>1785.7104761904761</v>
      </c>
      <c r="V20" s="47">
        <f t="shared" ref="V20:W24" si="54">IFERROR(V6/(12*$B6),0)</f>
        <v>1403.9404761904761</v>
      </c>
      <c r="W20" s="47">
        <f t="shared" si="54"/>
        <v>1403.9404761904761</v>
      </c>
      <c r="X20" s="47">
        <f>IFERROR(X6/(12*$B6),0)+329.14</f>
        <v>1403.9376190476191</v>
      </c>
      <c r="Y20" s="47">
        <f t="shared" ref="Y20:AO20" si="55">IFERROR(Y6/(12*$B6),0)</f>
        <v>1074.797619047619</v>
      </c>
      <c r="Z20" s="47">
        <f t="shared" si="55"/>
        <v>1074.797619047619</v>
      </c>
      <c r="AA20" s="47">
        <f t="shared" si="55"/>
        <v>1074.797619047619</v>
      </c>
      <c r="AB20" s="47">
        <f t="shared" si="55"/>
        <v>1074.797619047619</v>
      </c>
      <c r="AC20" s="47">
        <f t="shared" si="55"/>
        <v>1074.797619047619</v>
      </c>
      <c r="AD20" s="47">
        <f t="shared" si="55"/>
        <v>1074.797619047619</v>
      </c>
      <c r="AE20" s="47">
        <f t="shared" si="55"/>
        <v>1074.797619047619</v>
      </c>
      <c r="AF20" s="47">
        <f t="shared" si="55"/>
        <v>1074.797619047619</v>
      </c>
      <c r="AG20" s="47">
        <f t="shared" si="55"/>
        <v>1074.797619047619</v>
      </c>
      <c r="AH20" s="47">
        <f t="shared" si="55"/>
        <v>1074.797619047619</v>
      </c>
      <c r="AI20" s="47">
        <f t="shared" si="55"/>
        <v>1074.797619047619</v>
      </c>
      <c r="AJ20" s="47">
        <f t="shared" si="55"/>
        <v>1074.797619047619</v>
      </c>
      <c r="AK20" s="47">
        <f t="shared" si="55"/>
        <v>1074.797619047619</v>
      </c>
      <c r="AL20" s="47">
        <f t="shared" si="55"/>
        <v>1074.797619047619</v>
      </c>
      <c r="AM20" s="47">
        <f t="shared" si="55"/>
        <v>1074.797619047619</v>
      </c>
      <c r="AN20" s="47">
        <f t="shared" si="55"/>
        <v>1074.797619047619</v>
      </c>
      <c r="AO20" s="47">
        <f t="shared" si="55"/>
        <v>1074.797619047619</v>
      </c>
      <c r="AP20" s="47">
        <v>1074.8</v>
      </c>
      <c r="AQ20" s="47">
        <v>902.82</v>
      </c>
      <c r="AR20" s="203">
        <v>902.82</v>
      </c>
      <c r="AS20" s="203">
        <v>902.82</v>
      </c>
      <c r="AT20" s="203">
        <v>902.82</v>
      </c>
      <c r="AU20" s="203">
        <v>902.82</v>
      </c>
      <c r="AV20" s="203">
        <v>902.82</v>
      </c>
      <c r="AW20" s="203">
        <v>902.82</v>
      </c>
      <c r="AX20" s="203">
        <v>902.82</v>
      </c>
      <c r="AY20" s="203">
        <v>902.82</v>
      </c>
      <c r="AZ20" s="203">
        <v>902.82</v>
      </c>
      <c r="BA20" s="203">
        <v>902.82</v>
      </c>
      <c r="BB20" s="203">
        <v>902.82</v>
      </c>
      <c r="BC20" s="203">
        <v>902.82</v>
      </c>
      <c r="BD20" s="47">
        <v>902.82</v>
      </c>
      <c r="BE20" s="47">
        <v>902.82</v>
      </c>
      <c r="BF20" s="47">
        <v>902.82</v>
      </c>
      <c r="BG20" s="47">
        <v>902.82</v>
      </c>
      <c r="BH20" s="47">
        <v>902.82</v>
      </c>
      <c r="BI20" s="47">
        <v>902.82</v>
      </c>
      <c r="BJ20" s="47">
        <v>902.82</v>
      </c>
      <c r="BK20" s="47">
        <v>902.82</v>
      </c>
      <c r="BL20" s="47">
        <v>902.82</v>
      </c>
      <c r="BM20" s="47">
        <v>902.82</v>
      </c>
      <c r="BN20" s="47">
        <v>902.82</v>
      </c>
      <c r="BO20" s="47">
        <v>902.82</v>
      </c>
      <c r="BP20" s="47">
        <v>902.82</v>
      </c>
      <c r="BQ20" s="47">
        <v>902.82</v>
      </c>
      <c r="BR20" s="47">
        <v>902.82</v>
      </c>
      <c r="BS20" s="47">
        <v>902.82</v>
      </c>
      <c r="BT20" s="47">
        <v>902.82</v>
      </c>
      <c r="BU20" s="47">
        <v>902.82</v>
      </c>
      <c r="BV20" s="47">
        <v>902.82</v>
      </c>
      <c r="BW20" s="47">
        <v>902.82</v>
      </c>
      <c r="BX20" s="47">
        <v>902.82</v>
      </c>
      <c r="BY20" s="47">
        <v>902.82</v>
      </c>
      <c r="BZ20" s="47">
        <v>902.82</v>
      </c>
      <c r="CA20" s="47">
        <v>902.82</v>
      </c>
      <c r="CB20" s="47">
        <v>902.82</v>
      </c>
      <c r="CC20" s="47">
        <v>902.82</v>
      </c>
      <c r="CD20" s="47">
        <v>902.82</v>
      </c>
      <c r="CE20" s="47">
        <v>902.82</v>
      </c>
      <c r="CF20" s="47">
        <v>902.82</v>
      </c>
      <c r="CG20" s="47">
        <v>902.82</v>
      </c>
      <c r="CH20" s="47">
        <v>902.82</v>
      </c>
      <c r="CI20" s="47">
        <v>902.82</v>
      </c>
      <c r="CJ20" s="47">
        <v>902.82</v>
      </c>
      <c r="CK20" s="47">
        <v>902.82</v>
      </c>
      <c r="CL20" s="47">
        <v>902.82</v>
      </c>
      <c r="CM20" s="47">
        <v>902.82</v>
      </c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</row>
    <row r="21" spans="1:147" x14ac:dyDescent="0.3">
      <c r="A21" s="41" t="s">
        <v>127</v>
      </c>
      <c r="D21" s="47">
        <f t="shared" ref="D21:T21" si="56">IFERROR(D7/(12*$B7),0)</f>
        <v>0</v>
      </c>
      <c r="E21" s="47">
        <f t="shared" si="56"/>
        <v>0</v>
      </c>
      <c r="F21" s="47">
        <f t="shared" si="56"/>
        <v>0</v>
      </c>
      <c r="G21" s="47">
        <f t="shared" si="56"/>
        <v>0</v>
      </c>
      <c r="H21" s="47">
        <f t="shared" si="56"/>
        <v>0</v>
      </c>
      <c r="I21" s="47">
        <f t="shared" si="56"/>
        <v>3142.7711904761909</v>
      </c>
      <c r="J21" s="47">
        <f t="shared" si="56"/>
        <v>3142.7711904761909</v>
      </c>
      <c r="K21" s="47">
        <f t="shared" si="56"/>
        <v>3142.7711904761909</v>
      </c>
      <c r="L21" s="47">
        <f t="shared" si="56"/>
        <v>3142.7711904761909</v>
      </c>
      <c r="M21" s="47">
        <f t="shared" si="56"/>
        <v>3142.7711904761909</v>
      </c>
      <c r="N21" s="47">
        <f t="shared" si="56"/>
        <v>3142.7711904761909</v>
      </c>
      <c r="O21" s="47">
        <f t="shared" si="56"/>
        <v>3142.7711904761909</v>
      </c>
      <c r="P21" s="47">
        <f t="shared" si="56"/>
        <v>3142.7711904761909</v>
      </c>
      <c r="Q21" s="47">
        <f t="shared" si="56"/>
        <v>3142.7711904761909</v>
      </c>
      <c r="R21" s="47">
        <f t="shared" si="56"/>
        <v>3142.7711904761909</v>
      </c>
      <c r="S21" s="47">
        <f t="shared" si="56"/>
        <v>3142.7711904761909</v>
      </c>
      <c r="T21" s="47">
        <f t="shared" si="56"/>
        <v>3142.7711904761909</v>
      </c>
      <c r="U21" s="47">
        <f>IFERROR(U7/(12*$B7),0)</f>
        <v>3142.7711904761909</v>
      </c>
      <c r="V21" s="47">
        <f t="shared" si="54"/>
        <v>3142.7711904761909</v>
      </c>
      <c r="W21" s="47">
        <f t="shared" si="54"/>
        <v>3142.7711904761909</v>
      </c>
      <c r="X21" s="47">
        <f>IFERROR(X7/(12*$B7),0)</f>
        <v>3142.7711904761909</v>
      </c>
      <c r="Y21" s="47">
        <f t="shared" ref="Y21:AP21" si="57">IFERROR(Y7/(12*$B7),0)</f>
        <v>3142.7711904761909</v>
      </c>
      <c r="Z21" s="47">
        <f t="shared" si="57"/>
        <v>3142.7711904761909</v>
      </c>
      <c r="AA21" s="47">
        <f t="shared" si="57"/>
        <v>3142.7711904761909</v>
      </c>
      <c r="AB21" s="47">
        <f t="shared" si="57"/>
        <v>3142.7711904761909</v>
      </c>
      <c r="AC21" s="47">
        <f t="shared" si="57"/>
        <v>3142.7711904761909</v>
      </c>
      <c r="AD21" s="47">
        <f t="shared" si="57"/>
        <v>3142.7711904761909</v>
      </c>
      <c r="AE21" s="47">
        <f t="shared" si="57"/>
        <v>3142.7711904761909</v>
      </c>
      <c r="AF21" s="47">
        <f t="shared" si="57"/>
        <v>3142.7711904761909</v>
      </c>
      <c r="AG21" s="47">
        <f t="shared" si="57"/>
        <v>3142.7711904761909</v>
      </c>
      <c r="AH21" s="47">
        <f t="shared" si="57"/>
        <v>3142.7711904761909</v>
      </c>
      <c r="AI21" s="47">
        <f t="shared" si="57"/>
        <v>3142.7711904761909</v>
      </c>
      <c r="AJ21" s="47">
        <f t="shared" si="57"/>
        <v>3142.7711904761909</v>
      </c>
      <c r="AK21" s="47">
        <f t="shared" si="57"/>
        <v>3142.7711904761909</v>
      </c>
      <c r="AL21" s="47">
        <f t="shared" si="57"/>
        <v>3142.7711904761909</v>
      </c>
      <c r="AM21" s="47">
        <f t="shared" si="57"/>
        <v>3142.7711904761909</v>
      </c>
      <c r="AN21" s="47">
        <f t="shared" si="57"/>
        <v>3142.7711904761909</v>
      </c>
      <c r="AO21" s="47">
        <f t="shared" si="57"/>
        <v>3142.7711904761909</v>
      </c>
      <c r="AP21" s="47">
        <f t="shared" si="57"/>
        <v>3142.7711904761909</v>
      </c>
      <c r="AQ21" s="47">
        <f t="shared" ref="AQ21:BV21" si="58">IFERROR(AQ7/(12*$B7),0)</f>
        <v>3142.7711904761909</v>
      </c>
      <c r="AR21" s="203">
        <f t="shared" si="58"/>
        <v>3142.7711904761909</v>
      </c>
      <c r="AS21" s="203">
        <f t="shared" si="58"/>
        <v>3142.7711904761909</v>
      </c>
      <c r="AT21" s="203">
        <f t="shared" si="58"/>
        <v>3142.7711904761909</v>
      </c>
      <c r="AU21" s="203">
        <f t="shared" si="58"/>
        <v>3142.7711904761909</v>
      </c>
      <c r="AV21" s="203">
        <f t="shared" si="58"/>
        <v>3142.7711904761909</v>
      </c>
      <c r="AW21" s="203">
        <f t="shared" si="58"/>
        <v>3142.7711904761909</v>
      </c>
      <c r="AX21" s="203">
        <f t="shared" si="58"/>
        <v>3142.7711904761909</v>
      </c>
      <c r="AY21" s="203">
        <f t="shared" si="58"/>
        <v>3142.7711904761909</v>
      </c>
      <c r="AZ21" s="203">
        <f t="shared" si="58"/>
        <v>3142.7711904761909</v>
      </c>
      <c r="BA21" s="203">
        <f t="shared" si="58"/>
        <v>3142.7711904761909</v>
      </c>
      <c r="BB21" s="203">
        <f t="shared" si="58"/>
        <v>3142.7711904761909</v>
      </c>
      <c r="BC21" s="203">
        <f t="shared" si="58"/>
        <v>3142.7711904761909</v>
      </c>
      <c r="BD21" s="47">
        <f t="shared" si="58"/>
        <v>3142.7711904761909</v>
      </c>
      <c r="BE21" s="47">
        <f t="shared" si="58"/>
        <v>3142.7711904761909</v>
      </c>
      <c r="BF21" s="47">
        <f t="shared" si="58"/>
        <v>3142.7711904761909</v>
      </c>
      <c r="BG21" s="47">
        <f t="shared" si="58"/>
        <v>3142.7711904761909</v>
      </c>
      <c r="BH21" s="47">
        <f t="shared" si="58"/>
        <v>3142.7711904761909</v>
      </c>
      <c r="BI21" s="47">
        <f t="shared" si="58"/>
        <v>3142.7711904761909</v>
      </c>
      <c r="BJ21" s="47">
        <f t="shared" si="58"/>
        <v>3142.7711904761909</v>
      </c>
      <c r="BK21" s="47">
        <f t="shared" si="58"/>
        <v>3142.7711904761909</v>
      </c>
      <c r="BL21" s="47">
        <f t="shared" si="58"/>
        <v>3142.7711904761909</v>
      </c>
      <c r="BM21" s="47">
        <f t="shared" si="58"/>
        <v>3142.7711904761909</v>
      </c>
      <c r="BN21" s="47">
        <f t="shared" si="58"/>
        <v>3142.7711904761909</v>
      </c>
      <c r="BO21" s="47">
        <f t="shared" si="58"/>
        <v>3142.7711904761909</v>
      </c>
      <c r="BP21" s="47">
        <f t="shared" si="58"/>
        <v>3142.7711904761909</v>
      </c>
      <c r="BQ21" s="47">
        <f t="shared" si="58"/>
        <v>3142.7711904761909</v>
      </c>
      <c r="BR21" s="47">
        <f t="shared" si="58"/>
        <v>3142.7711904761909</v>
      </c>
      <c r="BS21" s="47">
        <f t="shared" si="58"/>
        <v>3142.7711904761909</v>
      </c>
      <c r="BT21" s="47">
        <f t="shared" si="58"/>
        <v>3142.7711904761909</v>
      </c>
      <c r="BU21" s="47">
        <f t="shared" si="58"/>
        <v>3142.7711904761909</v>
      </c>
      <c r="BV21" s="47">
        <f t="shared" si="58"/>
        <v>3142.7711904761909</v>
      </c>
      <c r="BW21" s="47">
        <f t="shared" ref="BW21:CN21" si="59">IFERROR(BW7/(12*$B7),0)</f>
        <v>3142.7711904761909</v>
      </c>
      <c r="BX21" s="47">
        <f t="shared" si="59"/>
        <v>3142.7711904761909</v>
      </c>
      <c r="BY21" s="47">
        <f t="shared" si="59"/>
        <v>3142.7711904761909</v>
      </c>
      <c r="BZ21" s="47">
        <f t="shared" si="59"/>
        <v>3142.7711904761909</v>
      </c>
      <c r="CA21" s="47">
        <f t="shared" si="59"/>
        <v>3142.7711904761909</v>
      </c>
      <c r="CB21" s="47">
        <f t="shared" si="59"/>
        <v>3142.7711904761909</v>
      </c>
      <c r="CC21" s="47">
        <f t="shared" si="59"/>
        <v>3142.7711904761909</v>
      </c>
      <c r="CD21" s="47">
        <f t="shared" si="59"/>
        <v>3142.7711904761909</v>
      </c>
      <c r="CE21" s="47">
        <f t="shared" si="59"/>
        <v>3142.7711904761909</v>
      </c>
      <c r="CF21" s="47">
        <f t="shared" si="59"/>
        <v>3142.7711904761909</v>
      </c>
      <c r="CG21" s="47">
        <f t="shared" si="59"/>
        <v>3142.7711904761909</v>
      </c>
      <c r="CH21" s="47">
        <f t="shared" si="59"/>
        <v>3142.7711904761909</v>
      </c>
      <c r="CI21" s="47">
        <f t="shared" si="59"/>
        <v>3142.7711904761909</v>
      </c>
      <c r="CJ21" s="47">
        <f t="shared" si="59"/>
        <v>3142.7711904761909</v>
      </c>
      <c r="CK21" s="47">
        <f t="shared" si="59"/>
        <v>3142.7711904761909</v>
      </c>
      <c r="CL21" s="47">
        <f t="shared" si="59"/>
        <v>3142.7711904761909</v>
      </c>
      <c r="CM21" s="47">
        <f t="shared" si="59"/>
        <v>3142.7711904761909</v>
      </c>
      <c r="CN21" s="47">
        <f t="shared" si="59"/>
        <v>3142.7711904761909</v>
      </c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</row>
    <row r="22" spans="1:147" x14ac:dyDescent="0.3">
      <c r="A22" s="41" t="s">
        <v>126</v>
      </c>
      <c r="D22" s="47">
        <f t="shared" ref="D22:T22" si="60">IFERROR(D8/(12*$B8),0)</f>
        <v>0</v>
      </c>
      <c r="E22" s="47">
        <f t="shared" si="60"/>
        <v>0</v>
      </c>
      <c r="F22" s="47">
        <f t="shared" si="60"/>
        <v>0</v>
      </c>
      <c r="G22" s="47">
        <f t="shared" si="60"/>
        <v>0</v>
      </c>
      <c r="H22" s="47">
        <f t="shared" si="60"/>
        <v>0</v>
      </c>
      <c r="I22" s="47">
        <f t="shared" si="60"/>
        <v>0</v>
      </c>
      <c r="J22" s="47">
        <f t="shared" si="60"/>
        <v>3213.0952380952381</v>
      </c>
      <c r="K22" s="47">
        <f t="shared" si="60"/>
        <v>3213.0952380952381</v>
      </c>
      <c r="L22" s="47">
        <f t="shared" si="60"/>
        <v>3213.0952380952381</v>
      </c>
      <c r="M22" s="47">
        <f t="shared" si="60"/>
        <v>3213.0952380952381</v>
      </c>
      <c r="N22" s="47">
        <f t="shared" si="60"/>
        <v>3213.0952380952381</v>
      </c>
      <c r="O22" s="47">
        <f t="shared" si="60"/>
        <v>3213.0952380952381</v>
      </c>
      <c r="P22" s="47">
        <f t="shared" si="60"/>
        <v>3213.0952380952381</v>
      </c>
      <c r="Q22" s="47">
        <f t="shared" si="60"/>
        <v>3213.0952380952381</v>
      </c>
      <c r="R22" s="47">
        <f t="shared" si="60"/>
        <v>3213.0952380952381</v>
      </c>
      <c r="S22" s="47">
        <f t="shared" si="60"/>
        <v>3213.0952380952381</v>
      </c>
      <c r="T22" s="47">
        <f t="shared" si="60"/>
        <v>3213.0952380952381</v>
      </c>
      <c r="U22" s="47">
        <f>IFERROR(U8/(12*$B8),0)</f>
        <v>3213.0952380952381</v>
      </c>
      <c r="V22" s="47">
        <f t="shared" si="54"/>
        <v>3213.0952380952381</v>
      </c>
      <c r="W22" s="47">
        <f t="shared" si="54"/>
        <v>3213.0952380952381</v>
      </c>
      <c r="X22" s="47">
        <f>IFERROR(X8/(12*$B8),0)</f>
        <v>3213.0952380952381</v>
      </c>
      <c r="Y22" s="47">
        <f t="shared" ref="Y22:AP22" si="61">IFERROR(Y8/(12*$B8),0)</f>
        <v>3213.0952380952381</v>
      </c>
      <c r="Z22" s="47">
        <f t="shared" si="61"/>
        <v>3213.0952380952381</v>
      </c>
      <c r="AA22" s="47">
        <f t="shared" si="61"/>
        <v>3213.0952380952381</v>
      </c>
      <c r="AB22" s="47">
        <f t="shared" si="61"/>
        <v>3213.0952380952381</v>
      </c>
      <c r="AC22" s="47">
        <f t="shared" si="61"/>
        <v>3213.0952380952381</v>
      </c>
      <c r="AD22" s="47">
        <f t="shared" si="61"/>
        <v>3213.0952380952381</v>
      </c>
      <c r="AE22" s="47">
        <f t="shared" si="61"/>
        <v>3213.0952380952381</v>
      </c>
      <c r="AF22" s="47">
        <f t="shared" si="61"/>
        <v>3213.0952380952381</v>
      </c>
      <c r="AG22" s="47">
        <f t="shared" si="61"/>
        <v>3213.0952380952381</v>
      </c>
      <c r="AH22" s="47">
        <f t="shared" si="61"/>
        <v>3213.0952380952381</v>
      </c>
      <c r="AI22" s="47">
        <f t="shared" si="61"/>
        <v>3213.0952380952381</v>
      </c>
      <c r="AJ22" s="47">
        <f t="shared" si="61"/>
        <v>3213.0952380952381</v>
      </c>
      <c r="AK22" s="47">
        <f t="shared" si="61"/>
        <v>3213.0952380952381</v>
      </c>
      <c r="AL22" s="47">
        <f t="shared" si="61"/>
        <v>3213.0952380952381</v>
      </c>
      <c r="AM22" s="47">
        <f t="shared" si="61"/>
        <v>3213.0952380952381</v>
      </c>
      <c r="AN22" s="47">
        <f t="shared" si="61"/>
        <v>3213.0952380952381</v>
      </c>
      <c r="AO22" s="47">
        <f t="shared" si="61"/>
        <v>3213.0952380952381</v>
      </c>
      <c r="AP22" s="47">
        <f t="shared" si="61"/>
        <v>3213.0952380952381</v>
      </c>
      <c r="AQ22" s="47">
        <f t="shared" ref="AQ22:BV22" si="62">IFERROR(AQ8/(12*$B8),0)</f>
        <v>3213.0952380952381</v>
      </c>
      <c r="AR22" s="203">
        <f t="shared" si="62"/>
        <v>3213.0952380952381</v>
      </c>
      <c r="AS22" s="203">
        <f t="shared" si="62"/>
        <v>3213.0952380952381</v>
      </c>
      <c r="AT22" s="203">
        <f t="shared" si="62"/>
        <v>3213.0952380952381</v>
      </c>
      <c r="AU22" s="203">
        <f t="shared" si="62"/>
        <v>3213.0952380952381</v>
      </c>
      <c r="AV22" s="203">
        <f t="shared" si="62"/>
        <v>3213.0952380952381</v>
      </c>
      <c r="AW22" s="203">
        <f t="shared" si="62"/>
        <v>3213.0952380952381</v>
      </c>
      <c r="AX22" s="203">
        <f t="shared" si="62"/>
        <v>3213.0952380952381</v>
      </c>
      <c r="AY22" s="203">
        <f t="shared" si="62"/>
        <v>3213.0952380952381</v>
      </c>
      <c r="AZ22" s="203">
        <f t="shared" si="62"/>
        <v>3213.0952380952381</v>
      </c>
      <c r="BA22" s="203">
        <f t="shared" si="62"/>
        <v>3213.0952380952381</v>
      </c>
      <c r="BB22" s="203">
        <f t="shared" si="62"/>
        <v>3213.0952380952381</v>
      </c>
      <c r="BC22" s="203">
        <f t="shared" si="62"/>
        <v>3213.0952380952381</v>
      </c>
      <c r="BD22" s="47">
        <f t="shared" si="62"/>
        <v>3213.0952380952381</v>
      </c>
      <c r="BE22" s="47">
        <f t="shared" si="62"/>
        <v>3213.0952380952381</v>
      </c>
      <c r="BF22" s="47">
        <f t="shared" si="62"/>
        <v>3213.0952380952381</v>
      </c>
      <c r="BG22" s="47">
        <f t="shared" si="62"/>
        <v>3213.0952380952381</v>
      </c>
      <c r="BH22" s="47">
        <f t="shared" si="62"/>
        <v>3213.0952380952381</v>
      </c>
      <c r="BI22" s="47">
        <f t="shared" si="62"/>
        <v>3213.0952380952381</v>
      </c>
      <c r="BJ22" s="47">
        <f t="shared" si="62"/>
        <v>3213.0952380952381</v>
      </c>
      <c r="BK22" s="47">
        <f t="shared" si="62"/>
        <v>3213.0952380952381</v>
      </c>
      <c r="BL22" s="47">
        <f t="shared" si="62"/>
        <v>3213.0952380952381</v>
      </c>
      <c r="BM22" s="47">
        <f t="shared" si="62"/>
        <v>3213.0952380952381</v>
      </c>
      <c r="BN22" s="47">
        <f t="shared" si="62"/>
        <v>3213.0952380952381</v>
      </c>
      <c r="BO22" s="47">
        <f t="shared" si="62"/>
        <v>3213.0952380952381</v>
      </c>
      <c r="BP22" s="47">
        <f t="shared" si="62"/>
        <v>3213.0952380952381</v>
      </c>
      <c r="BQ22" s="47">
        <f t="shared" si="62"/>
        <v>3213.0952380952381</v>
      </c>
      <c r="BR22" s="47">
        <f t="shared" si="62"/>
        <v>3213.0952380952381</v>
      </c>
      <c r="BS22" s="47">
        <f t="shared" si="62"/>
        <v>3213.0952380952381</v>
      </c>
      <c r="BT22" s="47">
        <f t="shared" si="62"/>
        <v>3213.0952380952381</v>
      </c>
      <c r="BU22" s="47">
        <f t="shared" si="62"/>
        <v>3213.0952380952381</v>
      </c>
      <c r="BV22" s="47">
        <f t="shared" si="62"/>
        <v>3213.0952380952381</v>
      </c>
      <c r="BW22" s="47">
        <f t="shared" ref="BW22:CN22" si="63">IFERROR(BW8/(12*$B8),0)</f>
        <v>3213.0952380952381</v>
      </c>
      <c r="BX22" s="47">
        <f t="shared" si="63"/>
        <v>3213.0952380952381</v>
      </c>
      <c r="BY22" s="47">
        <f t="shared" si="63"/>
        <v>3213.0952380952381</v>
      </c>
      <c r="BZ22" s="47">
        <f t="shared" si="63"/>
        <v>3213.0952380952381</v>
      </c>
      <c r="CA22" s="47">
        <f t="shared" si="63"/>
        <v>3213.0952380952381</v>
      </c>
      <c r="CB22" s="47">
        <f t="shared" si="63"/>
        <v>3213.0952380952381</v>
      </c>
      <c r="CC22" s="47">
        <f t="shared" si="63"/>
        <v>3213.0952380952381</v>
      </c>
      <c r="CD22" s="47">
        <f t="shared" si="63"/>
        <v>3213.0952380952381</v>
      </c>
      <c r="CE22" s="47">
        <f t="shared" si="63"/>
        <v>3213.0952380952381</v>
      </c>
      <c r="CF22" s="47">
        <f t="shared" si="63"/>
        <v>3213.0952380952381</v>
      </c>
      <c r="CG22" s="47">
        <f t="shared" si="63"/>
        <v>3213.0952380952381</v>
      </c>
      <c r="CH22" s="47">
        <f t="shared" si="63"/>
        <v>3213.0952380952381</v>
      </c>
      <c r="CI22" s="47">
        <f t="shared" si="63"/>
        <v>3213.0952380952381</v>
      </c>
      <c r="CJ22" s="47">
        <f t="shared" si="63"/>
        <v>3213.0952380952381</v>
      </c>
      <c r="CK22" s="47">
        <f t="shared" si="63"/>
        <v>3213.0952380952381</v>
      </c>
      <c r="CL22" s="47">
        <f t="shared" si="63"/>
        <v>3213.0952380952381</v>
      </c>
      <c r="CM22" s="47">
        <f t="shared" si="63"/>
        <v>3213.0952380952381</v>
      </c>
      <c r="CN22" s="47">
        <f t="shared" si="63"/>
        <v>3213.0952380952381</v>
      </c>
      <c r="CO22" s="47">
        <f>IFERROR(CO8/(12*$B8),0)</f>
        <v>3213.0952380952381</v>
      </c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</row>
    <row r="23" spans="1:147" x14ac:dyDescent="0.3">
      <c r="A23" s="41" t="s">
        <v>132</v>
      </c>
      <c r="D23" s="47">
        <f t="shared" ref="D23:T23" si="64">IFERROR(D9/(12*$B9),0)</f>
        <v>0</v>
      </c>
      <c r="E23" s="47">
        <f t="shared" si="64"/>
        <v>0</v>
      </c>
      <c r="F23" s="47">
        <f t="shared" si="64"/>
        <v>0</v>
      </c>
      <c r="G23" s="47">
        <f t="shared" si="64"/>
        <v>0</v>
      </c>
      <c r="H23" s="47">
        <f t="shared" si="64"/>
        <v>0</v>
      </c>
      <c r="I23" s="47">
        <f t="shared" si="64"/>
        <v>0</v>
      </c>
      <c r="J23" s="47">
        <f t="shared" si="64"/>
        <v>0</v>
      </c>
      <c r="K23" s="47">
        <f t="shared" si="64"/>
        <v>0</v>
      </c>
      <c r="L23" s="47">
        <f t="shared" si="64"/>
        <v>0</v>
      </c>
      <c r="M23" s="47">
        <f t="shared" si="64"/>
        <v>0</v>
      </c>
      <c r="N23" s="47">
        <f t="shared" si="64"/>
        <v>0</v>
      </c>
      <c r="O23" s="47">
        <f t="shared" si="64"/>
        <v>0</v>
      </c>
      <c r="P23" s="47">
        <f t="shared" si="64"/>
        <v>0</v>
      </c>
      <c r="Q23" s="47">
        <f t="shared" si="64"/>
        <v>0</v>
      </c>
      <c r="R23" s="47">
        <f t="shared" si="64"/>
        <v>0</v>
      </c>
      <c r="S23" s="47">
        <f t="shared" si="64"/>
        <v>0</v>
      </c>
      <c r="T23" s="47">
        <f t="shared" si="64"/>
        <v>0</v>
      </c>
      <c r="U23" s="47">
        <f>IFERROR(U9/(12*$B9),0)</f>
        <v>0</v>
      </c>
      <c r="V23" s="47">
        <f t="shared" si="54"/>
        <v>0</v>
      </c>
      <c r="W23" s="47">
        <f t="shared" si="54"/>
        <v>0</v>
      </c>
      <c r="X23" s="47">
        <f>IFERROR(X9/(12*$B9),0)</f>
        <v>0</v>
      </c>
      <c r="Y23" s="47">
        <f t="shared" ref="Y23:AP23" si="65">IFERROR(Y9/(12*$B9),0)</f>
        <v>0</v>
      </c>
      <c r="Z23" s="47">
        <f t="shared" si="65"/>
        <v>1666.6666666666667</v>
      </c>
      <c r="AA23" s="47">
        <f t="shared" si="65"/>
        <v>1666.6666666666667</v>
      </c>
      <c r="AB23" s="47">
        <f t="shared" si="65"/>
        <v>1666.6666666666667</v>
      </c>
      <c r="AC23" s="47">
        <f t="shared" si="65"/>
        <v>1666.6666666666667</v>
      </c>
      <c r="AD23" s="47">
        <f t="shared" si="65"/>
        <v>1666.6666666666667</v>
      </c>
      <c r="AE23" s="47">
        <f t="shared" si="65"/>
        <v>1666.6666666666667</v>
      </c>
      <c r="AF23" s="47">
        <f t="shared" si="65"/>
        <v>1666.6666666666667</v>
      </c>
      <c r="AG23" s="47">
        <f t="shared" si="65"/>
        <v>1666.6666666666667</v>
      </c>
      <c r="AH23" s="47">
        <f t="shared" si="65"/>
        <v>1666.6666666666667</v>
      </c>
      <c r="AI23" s="47">
        <f t="shared" si="65"/>
        <v>1666.6666666666667</v>
      </c>
      <c r="AJ23" s="47">
        <f t="shared" si="65"/>
        <v>1666.6666666666667</v>
      </c>
      <c r="AK23" s="47">
        <f t="shared" si="65"/>
        <v>1666.6666666666667</v>
      </c>
      <c r="AL23" s="47">
        <f t="shared" si="65"/>
        <v>1666.6666666666667</v>
      </c>
      <c r="AM23" s="47">
        <f t="shared" si="65"/>
        <v>1666.6666666666667</v>
      </c>
      <c r="AN23" s="47">
        <f t="shared" si="65"/>
        <v>1666.6666666666667</v>
      </c>
      <c r="AO23" s="47">
        <f t="shared" si="65"/>
        <v>1666.6666666666667</v>
      </c>
      <c r="AP23" s="47">
        <f t="shared" si="65"/>
        <v>1666.6666666666667</v>
      </c>
      <c r="AQ23" s="47">
        <f t="shared" ref="AQ23:BV23" si="66">IFERROR(AQ9/(12*$B9),0)</f>
        <v>1666.6666666666667</v>
      </c>
      <c r="AR23" s="203">
        <f t="shared" si="66"/>
        <v>1666.6666666666667</v>
      </c>
      <c r="AS23" s="203">
        <f t="shared" si="66"/>
        <v>1666.6666666666667</v>
      </c>
      <c r="AT23" s="203">
        <f t="shared" si="66"/>
        <v>1666.6666666666667</v>
      </c>
      <c r="AU23" s="203">
        <f t="shared" si="66"/>
        <v>1666.6666666666667</v>
      </c>
      <c r="AV23" s="203">
        <f t="shared" si="66"/>
        <v>1666.6666666666667</v>
      </c>
      <c r="AW23" s="203">
        <f t="shared" si="66"/>
        <v>1666.6666666666667</v>
      </c>
      <c r="AX23" s="203">
        <f t="shared" si="66"/>
        <v>1666.6666666666667</v>
      </c>
      <c r="AY23" s="203">
        <f t="shared" si="66"/>
        <v>1666.6666666666667</v>
      </c>
      <c r="AZ23" s="203">
        <f t="shared" si="66"/>
        <v>1666.6666666666667</v>
      </c>
      <c r="BA23" s="203">
        <f t="shared" si="66"/>
        <v>1666.6666666666667</v>
      </c>
      <c r="BB23" s="203">
        <f t="shared" si="66"/>
        <v>1666.6666666666667</v>
      </c>
      <c r="BC23" s="203">
        <f t="shared" si="66"/>
        <v>1666.6666666666667</v>
      </c>
      <c r="BD23" s="47">
        <f t="shared" si="66"/>
        <v>1666.6666666666667</v>
      </c>
      <c r="BE23" s="47">
        <f t="shared" si="66"/>
        <v>1666.6666666666667</v>
      </c>
      <c r="BF23" s="47">
        <f t="shared" si="66"/>
        <v>1666.6666666666667</v>
      </c>
      <c r="BG23" s="47">
        <f t="shared" si="66"/>
        <v>1666.6666666666667</v>
      </c>
      <c r="BH23" s="47">
        <f t="shared" si="66"/>
        <v>1666.6666666666667</v>
      </c>
      <c r="BI23" s="47">
        <f t="shared" si="66"/>
        <v>1666.6666666666667</v>
      </c>
      <c r="BJ23" s="47">
        <f t="shared" si="66"/>
        <v>1666.6666666666667</v>
      </c>
      <c r="BK23" s="47">
        <f t="shared" si="66"/>
        <v>1666.6666666666667</v>
      </c>
      <c r="BL23" s="47">
        <f t="shared" si="66"/>
        <v>1666.6666666666667</v>
      </c>
      <c r="BM23" s="47">
        <f t="shared" si="66"/>
        <v>1666.6666666666667</v>
      </c>
      <c r="BN23" s="47">
        <f t="shared" si="66"/>
        <v>1666.6666666666667</v>
      </c>
      <c r="BO23" s="47">
        <f t="shared" si="66"/>
        <v>1666.6666666666667</v>
      </c>
      <c r="BP23" s="47">
        <f t="shared" si="66"/>
        <v>1666.6666666666667</v>
      </c>
      <c r="BQ23" s="47">
        <f t="shared" si="66"/>
        <v>1666.6666666666667</v>
      </c>
      <c r="BR23" s="47">
        <f t="shared" si="66"/>
        <v>1666.6666666666667</v>
      </c>
      <c r="BS23" s="47">
        <f t="shared" si="66"/>
        <v>1666.6666666666667</v>
      </c>
      <c r="BT23" s="47">
        <f t="shared" si="66"/>
        <v>1666.6666666666667</v>
      </c>
      <c r="BU23" s="47">
        <f t="shared" si="66"/>
        <v>1666.6666666666667</v>
      </c>
      <c r="BV23" s="47">
        <f t="shared" si="66"/>
        <v>1666.6666666666667</v>
      </c>
      <c r="BW23" s="47">
        <f t="shared" ref="BW23:CN23" si="67">IFERROR(BW9/(12*$B9),0)</f>
        <v>1666.6666666666667</v>
      </c>
      <c r="BX23" s="47">
        <f t="shared" si="67"/>
        <v>1666.6666666666667</v>
      </c>
      <c r="BY23" s="47">
        <f t="shared" si="67"/>
        <v>1666.6666666666667</v>
      </c>
      <c r="BZ23" s="47">
        <f t="shared" si="67"/>
        <v>1666.6666666666667</v>
      </c>
      <c r="CA23" s="47">
        <f t="shared" si="67"/>
        <v>1666.6666666666667</v>
      </c>
      <c r="CB23" s="47">
        <f t="shared" si="67"/>
        <v>1666.6666666666667</v>
      </c>
      <c r="CC23" s="47">
        <f t="shared" si="67"/>
        <v>1666.6666666666667</v>
      </c>
      <c r="CD23" s="47">
        <f t="shared" si="67"/>
        <v>1666.6666666666667</v>
      </c>
      <c r="CE23" s="47">
        <f t="shared" si="67"/>
        <v>1666.6666666666667</v>
      </c>
      <c r="CF23" s="47">
        <f t="shared" si="67"/>
        <v>1666.6666666666667</v>
      </c>
      <c r="CG23" s="47">
        <f t="shared" si="67"/>
        <v>1666.6666666666667</v>
      </c>
      <c r="CH23" s="47">
        <f t="shared" si="67"/>
        <v>1666.6666666666667</v>
      </c>
      <c r="CI23" s="47">
        <f t="shared" si="67"/>
        <v>1666.6666666666667</v>
      </c>
      <c r="CJ23" s="47">
        <f t="shared" si="67"/>
        <v>1666.6666666666667</v>
      </c>
      <c r="CK23" s="47">
        <f t="shared" si="67"/>
        <v>1666.6666666666667</v>
      </c>
      <c r="CL23" s="47">
        <f t="shared" si="67"/>
        <v>1666.6666666666667</v>
      </c>
      <c r="CM23" s="47">
        <f t="shared" si="67"/>
        <v>1666.6666666666667</v>
      </c>
      <c r="CN23" s="47">
        <f t="shared" si="67"/>
        <v>1666.6666666666667</v>
      </c>
      <c r="CO23" s="47">
        <f>IFERROR(CO9/(12*$B9),0)</f>
        <v>1666.6666666666667</v>
      </c>
      <c r="CP23" s="47">
        <f t="shared" ref="CP23:DE23" si="68">IFERROR(CP9/(12*$B9),0)</f>
        <v>1666.6666666666667</v>
      </c>
      <c r="CQ23" s="47">
        <f t="shared" si="68"/>
        <v>1666.6666666666667</v>
      </c>
      <c r="CR23" s="47">
        <f t="shared" si="68"/>
        <v>1666.6666666666667</v>
      </c>
      <c r="CS23" s="47">
        <f t="shared" si="68"/>
        <v>1666.6666666666667</v>
      </c>
      <c r="CT23" s="47">
        <f t="shared" si="68"/>
        <v>1666.6666666666667</v>
      </c>
      <c r="CU23" s="47">
        <f t="shared" si="68"/>
        <v>1666.6666666666667</v>
      </c>
      <c r="CV23" s="47">
        <f t="shared" si="68"/>
        <v>1666.6666666666667</v>
      </c>
      <c r="CW23" s="47">
        <f t="shared" si="68"/>
        <v>1666.6666666666667</v>
      </c>
      <c r="CX23" s="47">
        <f t="shared" si="68"/>
        <v>1666.6666666666667</v>
      </c>
      <c r="CY23" s="47">
        <f t="shared" si="68"/>
        <v>1666.6666666666667</v>
      </c>
      <c r="CZ23" s="47">
        <f t="shared" si="68"/>
        <v>1666.6666666666667</v>
      </c>
      <c r="DA23" s="47">
        <f t="shared" si="68"/>
        <v>1666.6666666666667</v>
      </c>
      <c r="DB23" s="47">
        <f t="shared" si="68"/>
        <v>1666.6666666666667</v>
      </c>
      <c r="DC23" s="47">
        <f t="shared" si="68"/>
        <v>1666.6666666666667</v>
      </c>
      <c r="DD23" s="47">
        <f t="shared" si="68"/>
        <v>1666.6666666666667</v>
      </c>
      <c r="DE23" s="47">
        <f t="shared" si="68"/>
        <v>1666.6666666666667</v>
      </c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</row>
    <row r="24" spans="1:147" x14ac:dyDescent="0.3">
      <c r="A24" s="41" t="s">
        <v>131</v>
      </c>
      <c r="D24" s="47">
        <f>IFERROR(D10/(12*$B10),0)</f>
        <v>0</v>
      </c>
      <c r="E24" s="47">
        <f>IFERROR(E10/(12*$B10),0)</f>
        <v>0</v>
      </c>
      <c r="F24" s="47">
        <f>IFERROR(F10/(12*$B10),0)</f>
        <v>0</v>
      </c>
      <c r="G24" s="47">
        <f>IFERROR(G10/(12*$B10),0)</f>
        <v>0</v>
      </c>
      <c r="H24" s="47">
        <f>IFERROR(H10/(12*$B10),0)</f>
        <v>0</v>
      </c>
      <c r="I24" s="47"/>
      <c r="J24" s="47">
        <f t="shared" ref="J24:T24" si="69">IFERROR(J10/(12*$B10),0)</f>
        <v>0</v>
      </c>
      <c r="K24" s="47">
        <f t="shared" si="69"/>
        <v>0</v>
      </c>
      <c r="L24" s="47">
        <f t="shared" si="69"/>
        <v>0</v>
      </c>
      <c r="M24" s="47">
        <f t="shared" si="69"/>
        <v>0</v>
      </c>
      <c r="N24" s="47">
        <f t="shared" si="69"/>
        <v>0</v>
      </c>
      <c r="O24" s="47">
        <f t="shared" si="69"/>
        <v>0</v>
      </c>
      <c r="P24" s="47">
        <f t="shared" si="69"/>
        <v>0</v>
      </c>
      <c r="Q24" s="47">
        <f t="shared" si="69"/>
        <v>0</v>
      </c>
      <c r="R24" s="47">
        <f t="shared" si="69"/>
        <v>0</v>
      </c>
      <c r="S24" s="47">
        <f t="shared" si="69"/>
        <v>0</v>
      </c>
      <c r="T24" s="47">
        <f t="shared" si="69"/>
        <v>0</v>
      </c>
      <c r="U24" s="47">
        <f>IFERROR(U10/(12*$B10),0)</f>
        <v>0</v>
      </c>
      <c r="V24" s="47">
        <f t="shared" si="54"/>
        <v>0</v>
      </c>
      <c r="W24" s="47">
        <f t="shared" si="54"/>
        <v>0</v>
      </c>
      <c r="X24" s="47">
        <f>IFERROR(X10/(12*$B10),0)</f>
        <v>0</v>
      </c>
      <c r="Y24" s="47">
        <f t="shared" ref="Y24:AP24" si="70">IFERROR(Y10/(12*$B10),0)</f>
        <v>0</v>
      </c>
      <c r="Z24" s="47">
        <f t="shared" si="70"/>
        <v>3247.0773809523807</v>
      </c>
      <c r="AA24" s="47">
        <f t="shared" si="70"/>
        <v>3247.0773809523807</v>
      </c>
      <c r="AB24" s="47">
        <f t="shared" si="70"/>
        <v>3247.0773809523807</v>
      </c>
      <c r="AC24" s="47">
        <f t="shared" si="70"/>
        <v>3247.0773809523807</v>
      </c>
      <c r="AD24" s="47">
        <f t="shared" si="70"/>
        <v>3247.0773809523807</v>
      </c>
      <c r="AE24" s="47">
        <f t="shared" si="70"/>
        <v>3247.0773809523807</v>
      </c>
      <c r="AF24" s="47">
        <f t="shared" si="70"/>
        <v>3247.0773809523807</v>
      </c>
      <c r="AG24" s="47">
        <f t="shared" si="70"/>
        <v>3247.0773809523807</v>
      </c>
      <c r="AH24" s="47">
        <f t="shared" si="70"/>
        <v>3247.0773809523807</v>
      </c>
      <c r="AI24" s="47">
        <f t="shared" si="70"/>
        <v>3247.0773809523807</v>
      </c>
      <c r="AJ24" s="47">
        <f t="shared" si="70"/>
        <v>3247.0773809523807</v>
      </c>
      <c r="AK24" s="47">
        <f t="shared" si="70"/>
        <v>3247.0773809523807</v>
      </c>
      <c r="AL24" s="47">
        <f t="shared" si="70"/>
        <v>3247.0773809523807</v>
      </c>
      <c r="AM24" s="47">
        <f t="shared" si="70"/>
        <v>3247.0773809523807</v>
      </c>
      <c r="AN24" s="47">
        <f t="shared" si="70"/>
        <v>3247.0773809523807</v>
      </c>
      <c r="AO24" s="47">
        <f t="shared" si="70"/>
        <v>3247.0773809523807</v>
      </c>
      <c r="AP24" s="47">
        <f t="shared" si="70"/>
        <v>3247.0773809523807</v>
      </c>
      <c r="AQ24" s="47">
        <f t="shared" ref="AQ24:BV24" si="71">IFERROR(AQ10/(12*$B10),0)</f>
        <v>3247.0773809523807</v>
      </c>
      <c r="AR24" s="203">
        <f t="shared" si="71"/>
        <v>3247.0773809523807</v>
      </c>
      <c r="AS24" s="203">
        <f t="shared" si="71"/>
        <v>3247.0773809523807</v>
      </c>
      <c r="AT24" s="203">
        <f t="shared" si="71"/>
        <v>3247.0773809523807</v>
      </c>
      <c r="AU24" s="203">
        <f t="shared" si="71"/>
        <v>3247.0773809523807</v>
      </c>
      <c r="AV24" s="203">
        <f t="shared" si="71"/>
        <v>3247.0773809523807</v>
      </c>
      <c r="AW24" s="203">
        <f t="shared" si="71"/>
        <v>3247.0773809523807</v>
      </c>
      <c r="AX24" s="203">
        <f t="shared" si="71"/>
        <v>3247.0773809523807</v>
      </c>
      <c r="AY24" s="203">
        <f t="shared" si="71"/>
        <v>3247.0773809523807</v>
      </c>
      <c r="AZ24" s="203">
        <f t="shared" si="71"/>
        <v>3247.0773809523807</v>
      </c>
      <c r="BA24" s="203">
        <f t="shared" si="71"/>
        <v>3247.0773809523807</v>
      </c>
      <c r="BB24" s="203">
        <f t="shared" si="71"/>
        <v>3247.0773809523807</v>
      </c>
      <c r="BC24" s="203">
        <f t="shared" si="71"/>
        <v>3247.0773809523807</v>
      </c>
      <c r="BD24" s="47">
        <f t="shared" si="71"/>
        <v>3247.0773809523807</v>
      </c>
      <c r="BE24" s="47">
        <f t="shared" si="71"/>
        <v>3247.0773809523807</v>
      </c>
      <c r="BF24" s="47">
        <f t="shared" si="71"/>
        <v>3247.0773809523807</v>
      </c>
      <c r="BG24" s="47">
        <f t="shared" si="71"/>
        <v>3247.0773809523807</v>
      </c>
      <c r="BH24" s="47">
        <f t="shared" si="71"/>
        <v>3247.0773809523807</v>
      </c>
      <c r="BI24" s="47">
        <f t="shared" si="71"/>
        <v>3247.0773809523807</v>
      </c>
      <c r="BJ24" s="47">
        <f t="shared" si="71"/>
        <v>3247.0773809523807</v>
      </c>
      <c r="BK24" s="47">
        <f t="shared" si="71"/>
        <v>3247.0773809523807</v>
      </c>
      <c r="BL24" s="47">
        <f t="shared" si="71"/>
        <v>3247.0773809523807</v>
      </c>
      <c r="BM24" s="47">
        <f t="shared" si="71"/>
        <v>3247.0773809523807</v>
      </c>
      <c r="BN24" s="47">
        <f t="shared" si="71"/>
        <v>3247.0773809523807</v>
      </c>
      <c r="BO24" s="47">
        <f t="shared" si="71"/>
        <v>3247.0773809523807</v>
      </c>
      <c r="BP24" s="47">
        <f t="shared" si="71"/>
        <v>3247.0773809523807</v>
      </c>
      <c r="BQ24" s="47">
        <f t="shared" si="71"/>
        <v>3247.0773809523807</v>
      </c>
      <c r="BR24" s="47">
        <f t="shared" si="71"/>
        <v>3247.0773809523807</v>
      </c>
      <c r="BS24" s="47">
        <f t="shared" si="71"/>
        <v>3247.0773809523807</v>
      </c>
      <c r="BT24" s="47">
        <f t="shared" si="71"/>
        <v>3247.0773809523807</v>
      </c>
      <c r="BU24" s="47">
        <f t="shared" si="71"/>
        <v>3247.0773809523807</v>
      </c>
      <c r="BV24" s="47">
        <f t="shared" si="71"/>
        <v>3247.0773809523807</v>
      </c>
      <c r="BW24" s="47">
        <f t="shared" ref="BW24:CN24" si="72">IFERROR(BW10/(12*$B10),0)</f>
        <v>3247.0773809523807</v>
      </c>
      <c r="BX24" s="47">
        <f t="shared" si="72"/>
        <v>3247.0773809523807</v>
      </c>
      <c r="BY24" s="47">
        <f t="shared" si="72"/>
        <v>3247.0773809523807</v>
      </c>
      <c r="BZ24" s="47">
        <f t="shared" si="72"/>
        <v>3247.0773809523807</v>
      </c>
      <c r="CA24" s="47">
        <f t="shared" si="72"/>
        <v>3247.0773809523807</v>
      </c>
      <c r="CB24" s="47">
        <f t="shared" si="72"/>
        <v>3247.0773809523807</v>
      </c>
      <c r="CC24" s="47">
        <f t="shared" si="72"/>
        <v>3247.0773809523807</v>
      </c>
      <c r="CD24" s="47">
        <f t="shared" si="72"/>
        <v>3247.0773809523807</v>
      </c>
      <c r="CE24" s="47">
        <f t="shared" si="72"/>
        <v>3247.0773809523807</v>
      </c>
      <c r="CF24" s="47">
        <f t="shared" si="72"/>
        <v>3247.0773809523807</v>
      </c>
      <c r="CG24" s="47">
        <f t="shared" si="72"/>
        <v>3247.0773809523807</v>
      </c>
      <c r="CH24" s="47">
        <f t="shared" si="72"/>
        <v>3247.0773809523807</v>
      </c>
      <c r="CI24" s="47">
        <f t="shared" si="72"/>
        <v>3247.0773809523807</v>
      </c>
      <c r="CJ24" s="47">
        <f t="shared" si="72"/>
        <v>3247.0773809523807</v>
      </c>
      <c r="CK24" s="47">
        <f t="shared" si="72"/>
        <v>3247.0773809523807</v>
      </c>
      <c r="CL24" s="47">
        <f t="shared" si="72"/>
        <v>3247.0773809523807</v>
      </c>
      <c r="CM24" s="47">
        <f t="shared" si="72"/>
        <v>3247.0773809523807</v>
      </c>
      <c r="CN24" s="47">
        <f t="shared" si="72"/>
        <v>3247.0773809523807</v>
      </c>
      <c r="CO24" s="47">
        <f>IFERROR(CO10/(12*$B10),0)</f>
        <v>3247.0773809523807</v>
      </c>
      <c r="CP24" s="47">
        <f t="shared" ref="CP24:DE24" si="73">IFERROR(CP10/(12*$B10),0)</f>
        <v>3247.0773809523807</v>
      </c>
      <c r="CQ24" s="47">
        <f t="shared" si="73"/>
        <v>3247.0773809523807</v>
      </c>
      <c r="CR24" s="47">
        <f t="shared" si="73"/>
        <v>3247.0773809523807</v>
      </c>
      <c r="CS24" s="47">
        <f t="shared" si="73"/>
        <v>3247.0773809523807</v>
      </c>
      <c r="CT24" s="47">
        <f t="shared" si="73"/>
        <v>3247.0773809523807</v>
      </c>
      <c r="CU24" s="47">
        <f t="shared" si="73"/>
        <v>3247.0773809523807</v>
      </c>
      <c r="CV24" s="47">
        <f t="shared" si="73"/>
        <v>3247.0773809523807</v>
      </c>
      <c r="CW24" s="47">
        <f t="shared" si="73"/>
        <v>3247.0773809523807</v>
      </c>
      <c r="CX24" s="47">
        <f t="shared" si="73"/>
        <v>3247.0773809523807</v>
      </c>
      <c r="CY24" s="47">
        <f t="shared" si="73"/>
        <v>3247.0773809523807</v>
      </c>
      <c r="CZ24" s="47">
        <f t="shared" si="73"/>
        <v>3247.0773809523807</v>
      </c>
      <c r="DA24" s="47">
        <f t="shared" si="73"/>
        <v>3247.0773809523807</v>
      </c>
      <c r="DB24" s="47">
        <f t="shared" si="73"/>
        <v>3247.0773809523807</v>
      </c>
      <c r="DC24" s="47">
        <f t="shared" si="73"/>
        <v>3247.0773809523807</v>
      </c>
      <c r="DD24" s="47">
        <f t="shared" si="73"/>
        <v>3247.0773809523807</v>
      </c>
      <c r="DE24" s="47">
        <f t="shared" si="73"/>
        <v>3247.0773809523807</v>
      </c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</row>
    <row r="25" spans="1:147" x14ac:dyDescent="0.3"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</row>
    <row r="26" spans="1:147" x14ac:dyDescent="0.3">
      <c r="C26" s="200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</row>
    <row r="27" spans="1:147" x14ac:dyDescent="0.3"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</row>
    <row r="28" spans="1:147" x14ac:dyDescent="0.3">
      <c r="A28" s="41" t="s">
        <v>18</v>
      </c>
      <c r="C28" s="47">
        <f t="shared" ref="C28:AH28" si="74">SUM(C18:C27)</f>
        <v>12520.378095238095</v>
      </c>
      <c r="D28" s="47">
        <f t="shared" si="74"/>
        <v>1565.047619047619</v>
      </c>
      <c r="E28" s="47">
        <f t="shared" si="74"/>
        <v>1565.047619047619</v>
      </c>
      <c r="F28" s="47">
        <f t="shared" si="74"/>
        <v>1565.047619047619</v>
      </c>
      <c r="G28" s="47">
        <f t="shared" si="74"/>
        <v>1565.047619047619</v>
      </c>
      <c r="H28" s="47">
        <f t="shared" si="74"/>
        <v>3350.7619047619046</v>
      </c>
      <c r="I28" s="47">
        <f t="shared" si="74"/>
        <v>6493.5330952380955</v>
      </c>
      <c r="J28" s="47">
        <f t="shared" si="74"/>
        <v>9706.628333333334</v>
      </c>
      <c r="K28" s="47">
        <f t="shared" si="74"/>
        <v>9706.628333333334</v>
      </c>
      <c r="L28" s="47">
        <f t="shared" si="74"/>
        <v>9706.628333333334</v>
      </c>
      <c r="M28" s="47">
        <f t="shared" si="74"/>
        <v>9706.628333333334</v>
      </c>
      <c r="N28" s="47">
        <f t="shared" si="74"/>
        <v>9706.628333333334</v>
      </c>
      <c r="O28" s="47">
        <f t="shared" si="74"/>
        <v>9706.628333333334</v>
      </c>
      <c r="P28" s="47">
        <f t="shared" si="74"/>
        <v>9706.628333333334</v>
      </c>
      <c r="Q28" s="47">
        <f t="shared" si="74"/>
        <v>9706.628333333334</v>
      </c>
      <c r="R28" s="47">
        <f t="shared" si="74"/>
        <v>9706.628333333334</v>
      </c>
      <c r="S28" s="47">
        <f t="shared" si="74"/>
        <v>9706.628333333334</v>
      </c>
      <c r="T28" s="47">
        <f t="shared" si="74"/>
        <v>9706.628333333334</v>
      </c>
      <c r="U28" s="47">
        <f t="shared" si="74"/>
        <v>9706.6245238095235</v>
      </c>
      <c r="V28" s="47">
        <f t="shared" si="74"/>
        <v>9324.8545238095248</v>
      </c>
      <c r="W28" s="47">
        <f t="shared" si="74"/>
        <v>9324.8545238095248</v>
      </c>
      <c r="X28" s="47">
        <f t="shared" si="74"/>
        <v>9324.8516666666674</v>
      </c>
      <c r="Y28" s="47">
        <f t="shared" si="74"/>
        <v>8995.711666666668</v>
      </c>
      <c r="Z28" s="47">
        <f t="shared" si="74"/>
        <v>13909.455714285716</v>
      </c>
      <c r="AA28" s="47">
        <f t="shared" si="74"/>
        <v>13909.455714285716</v>
      </c>
      <c r="AB28" s="47">
        <f t="shared" si="74"/>
        <v>13909.455714285716</v>
      </c>
      <c r="AC28" s="47">
        <f t="shared" si="74"/>
        <v>13909.455714285716</v>
      </c>
      <c r="AD28" s="47">
        <f t="shared" si="74"/>
        <v>13909.455714285716</v>
      </c>
      <c r="AE28" s="47">
        <f t="shared" si="74"/>
        <v>13909.455714285716</v>
      </c>
      <c r="AF28" s="47">
        <f t="shared" si="74"/>
        <v>13909.455714285716</v>
      </c>
      <c r="AG28" s="47">
        <f t="shared" si="74"/>
        <v>13909.455714285716</v>
      </c>
      <c r="AH28" s="47">
        <f t="shared" si="74"/>
        <v>13909.455714285716</v>
      </c>
      <c r="AI28" s="47">
        <f t="shared" ref="AI28:BN28" si="75">SUM(AI18:AI27)</f>
        <v>13909.455714285716</v>
      </c>
      <c r="AJ28" s="47">
        <f t="shared" si="75"/>
        <v>13909.455714285716</v>
      </c>
      <c r="AK28" s="47">
        <f t="shared" si="75"/>
        <v>13135.646190476189</v>
      </c>
      <c r="AL28" s="47">
        <f t="shared" si="75"/>
        <v>13135.646190476189</v>
      </c>
      <c r="AM28" s="47">
        <f t="shared" si="75"/>
        <v>13135.646190476189</v>
      </c>
      <c r="AN28" s="47">
        <f t="shared" si="75"/>
        <v>13135.646190476189</v>
      </c>
      <c r="AO28" s="47">
        <f t="shared" si="75"/>
        <v>13135.646190476189</v>
      </c>
      <c r="AP28" s="47">
        <f t="shared" si="75"/>
        <v>13135.64857142857</v>
      </c>
      <c r="AQ28" s="47">
        <f t="shared" si="75"/>
        <v>12963.66857142857</v>
      </c>
      <c r="AR28" s="203">
        <f t="shared" si="75"/>
        <v>12963.66857142857</v>
      </c>
      <c r="AS28" s="203">
        <f t="shared" si="75"/>
        <v>12963.66857142857</v>
      </c>
      <c r="AT28" s="203">
        <f t="shared" si="75"/>
        <v>12963.66857142857</v>
      </c>
      <c r="AU28" s="203">
        <f t="shared" si="75"/>
        <v>12963.66857142857</v>
      </c>
      <c r="AV28" s="203">
        <f t="shared" si="75"/>
        <v>12963.66857142857</v>
      </c>
      <c r="AW28" s="203">
        <f t="shared" si="75"/>
        <v>12963.66857142857</v>
      </c>
      <c r="AX28" s="203">
        <f t="shared" si="75"/>
        <v>12963.66857142857</v>
      </c>
      <c r="AY28" s="203">
        <f t="shared" si="75"/>
        <v>12963.66857142857</v>
      </c>
      <c r="AZ28" s="203">
        <f t="shared" si="75"/>
        <v>12963.66857142857</v>
      </c>
      <c r="BA28" s="203">
        <f t="shared" si="75"/>
        <v>12963.66857142857</v>
      </c>
      <c r="BB28" s="203">
        <f t="shared" si="75"/>
        <v>12963.66857142857</v>
      </c>
      <c r="BC28" s="203">
        <f t="shared" si="75"/>
        <v>12963.66857142857</v>
      </c>
      <c r="BD28" s="47">
        <f t="shared" si="75"/>
        <v>12963.66857142857</v>
      </c>
      <c r="BE28" s="47">
        <f t="shared" si="75"/>
        <v>12963.66857142857</v>
      </c>
      <c r="BF28" s="47">
        <f t="shared" si="75"/>
        <v>12963.66857142857</v>
      </c>
      <c r="BG28" s="47">
        <f t="shared" si="75"/>
        <v>12963.66857142857</v>
      </c>
      <c r="BH28" s="47">
        <f t="shared" si="75"/>
        <v>12963.66857142857</v>
      </c>
      <c r="BI28" s="47">
        <f t="shared" si="75"/>
        <v>12963.66857142857</v>
      </c>
      <c r="BJ28" s="47">
        <f t="shared" si="75"/>
        <v>12963.66857142857</v>
      </c>
      <c r="BK28" s="47">
        <f t="shared" si="75"/>
        <v>12963.66857142857</v>
      </c>
      <c r="BL28" s="47">
        <f t="shared" si="75"/>
        <v>12963.66857142857</v>
      </c>
      <c r="BM28" s="47">
        <f t="shared" si="75"/>
        <v>12963.66857142857</v>
      </c>
      <c r="BN28" s="47">
        <f t="shared" si="75"/>
        <v>12963.66857142857</v>
      </c>
      <c r="BO28" s="47">
        <f t="shared" ref="BO28:CT28" si="76">SUM(BO18:BO27)</f>
        <v>12963.66857142857</v>
      </c>
      <c r="BP28" s="47">
        <f t="shared" si="76"/>
        <v>12963.66857142857</v>
      </c>
      <c r="BQ28" s="47">
        <f t="shared" si="76"/>
        <v>12963.66857142857</v>
      </c>
      <c r="BR28" s="47">
        <f t="shared" si="76"/>
        <v>12963.66857142857</v>
      </c>
      <c r="BS28" s="47">
        <f t="shared" si="76"/>
        <v>12963.66857142857</v>
      </c>
      <c r="BT28" s="47">
        <f t="shared" si="76"/>
        <v>12963.66857142857</v>
      </c>
      <c r="BU28" s="47">
        <f t="shared" si="76"/>
        <v>12963.66857142857</v>
      </c>
      <c r="BV28" s="47">
        <f t="shared" si="76"/>
        <v>12963.66857142857</v>
      </c>
      <c r="BW28" s="47">
        <f t="shared" si="76"/>
        <v>12963.66857142857</v>
      </c>
      <c r="BX28" s="47">
        <f t="shared" si="76"/>
        <v>12963.66857142857</v>
      </c>
      <c r="BY28" s="47">
        <f t="shared" si="76"/>
        <v>12963.66857142857</v>
      </c>
      <c r="BZ28" s="47">
        <f t="shared" si="76"/>
        <v>12963.66857142857</v>
      </c>
      <c r="CA28" s="47">
        <f t="shared" si="76"/>
        <v>12963.66857142857</v>
      </c>
      <c r="CB28" s="47">
        <f t="shared" si="76"/>
        <v>12172.430476190475</v>
      </c>
      <c r="CC28" s="47">
        <f t="shared" si="76"/>
        <v>12172.430476190475</v>
      </c>
      <c r="CD28" s="47">
        <f t="shared" si="76"/>
        <v>12172.430476190475</v>
      </c>
      <c r="CE28" s="47">
        <f t="shared" si="76"/>
        <v>12172.430476190475</v>
      </c>
      <c r="CF28" s="47">
        <f t="shared" si="76"/>
        <v>12172.430476190475</v>
      </c>
      <c r="CG28" s="47">
        <f t="shared" si="76"/>
        <v>12172.430476190475</v>
      </c>
      <c r="CH28" s="47">
        <f t="shared" si="76"/>
        <v>12172.430476190475</v>
      </c>
      <c r="CI28" s="47">
        <f t="shared" si="76"/>
        <v>12172.430476190475</v>
      </c>
      <c r="CJ28" s="47">
        <f t="shared" si="76"/>
        <v>12172.430476190475</v>
      </c>
      <c r="CK28" s="47">
        <f t="shared" si="76"/>
        <v>12172.430476190475</v>
      </c>
      <c r="CL28" s="47">
        <f t="shared" si="76"/>
        <v>12172.430476190475</v>
      </c>
      <c r="CM28" s="47">
        <f t="shared" si="76"/>
        <v>12172.430476190475</v>
      </c>
      <c r="CN28" s="47">
        <f t="shared" si="76"/>
        <v>11269.610476190477</v>
      </c>
      <c r="CO28" s="47">
        <f t="shared" si="76"/>
        <v>8126.8392857142853</v>
      </c>
      <c r="CP28" s="47">
        <f t="shared" si="76"/>
        <v>4913.7440476190477</v>
      </c>
      <c r="CQ28" s="47">
        <f t="shared" si="76"/>
        <v>4913.7440476190477</v>
      </c>
      <c r="CR28" s="47">
        <f t="shared" si="76"/>
        <v>4913.7440476190477</v>
      </c>
      <c r="CS28" s="47">
        <f t="shared" si="76"/>
        <v>4913.7440476190477</v>
      </c>
      <c r="CT28" s="47">
        <f t="shared" si="76"/>
        <v>4913.7440476190477</v>
      </c>
      <c r="CU28" s="47">
        <f t="shared" ref="CU28:DZ28" si="77">SUM(CU18:CU27)</f>
        <v>4913.7440476190477</v>
      </c>
      <c r="CV28" s="47">
        <f t="shared" si="77"/>
        <v>4913.7440476190477</v>
      </c>
      <c r="CW28" s="47">
        <f t="shared" si="77"/>
        <v>4913.7440476190477</v>
      </c>
      <c r="CX28" s="47">
        <f t="shared" si="77"/>
        <v>4913.7440476190477</v>
      </c>
      <c r="CY28" s="47">
        <f t="shared" si="77"/>
        <v>4913.7440476190477</v>
      </c>
      <c r="CZ28" s="47">
        <f t="shared" si="77"/>
        <v>4913.7440476190477</v>
      </c>
      <c r="DA28" s="47">
        <f t="shared" si="77"/>
        <v>4913.7440476190477</v>
      </c>
      <c r="DB28" s="47">
        <f t="shared" si="77"/>
        <v>4913.7440476190477</v>
      </c>
      <c r="DC28" s="47">
        <f t="shared" si="77"/>
        <v>4913.7440476190477</v>
      </c>
      <c r="DD28" s="47">
        <f t="shared" si="77"/>
        <v>4913.7440476190477</v>
      </c>
      <c r="DE28" s="47">
        <f t="shared" si="77"/>
        <v>4913.7440476190477</v>
      </c>
      <c r="DF28" s="47">
        <f t="shared" si="77"/>
        <v>0</v>
      </c>
      <c r="DG28" s="47">
        <f t="shared" si="77"/>
        <v>0</v>
      </c>
      <c r="DH28" s="47">
        <f t="shared" si="77"/>
        <v>0</v>
      </c>
      <c r="DI28" s="47">
        <f t="shared" si="77"/>
        <v>0</v>
      </c>
      <c r="DJ28" s="47">
        <f t="shared" si="77"/>
        <v>0</v>
      </c>
      <c r="DK28" s="47">
        <f t="shared" si="77"/>
        <v>0</v>
      </c>
      <c r="DL28" s="47">
        <f t="shared" si="77"/>
        <v>0</v>
      </c>
      <c r="DM28" s="47">
        <f t="shared" si="77"/>
        <v>0</v>
      </c>
      <c r="DN28" s="47">
        <f t="shared" si="77"/>
        <v>0</v>
      </c>
      <c r="DO28" s="47">
        <f t="shared" si="77"/>
        <v>0</v>
      </c>
      <c r="DP28" s="47">
        <f t="shared" si="77"/>
        <v>0</v>
      </c>
      <c r="DQ28" s="47">
        <f t="shared" si="77"/>
        <v>0</v>
      </c>
      <c r="DR28" s="47">
        <f t="shared" si="77"/>
        <v>0</v>
      </c>
      <c r="DS28" s="47">
        <f t="shared" si="77"/>
        <v>0</v>
      </c>
      <c r="DT28" s="47">
        <f t="shared" si="77"/>
        <v>0</v>
      </c>
      <c r="DU28" s="47">
        <f t="shared" si="77"/>
        <v>0</v>
      </c>
      <c r="DV28" s="47">
        <f t="shared" si="77"/>
        <v>0</v>
      </c>
      <c r="DW28" s="47">
        <f t="shared" si="77"/>
        <v>0</v>
      </c>
      <c r="DX28" s="47">
        <f t="shared" si="77"/>
        <v>0</v>
      </c>
      <c r="DY28" s="47">
        <f t="shared" si="77"/>
        <v>0</v>
      </c>
      <c r="DZ28" s="47">
        <f t="shared" si="77"/>
        <v>0</v>
      </c>
      <c r="EA28" s="47">
        <f t="shared" ref="EA28:EQ28" si="78">SUM(EA18:EA27)</f>
        <v>0</v>
      </c>
      <c r="EB28" s="47">
        <f t="shared" si="78"/>
        <v>0</v>
      </c>
      <c r="EC28" s="47">
        <f t="shared" si="78"/>
        <v>0</v>
      </c>
      <c r="ED28" s="47">
        <f t="shared" si="78"/>
        <v>0</v>
      </c>
      <c r="EE28" s="47">
        <f t="shared" si="78"/>
        <v>0</v>
      </c>
      <c r="EF28" s="47">
        <f t="shared" si="78"/>
        <v>0</v>
      </c>
      <c r="EG28" s="47">
        <f t="shared" si="78"/>
        <v>0</v>
      </c>
      <c r="EH28" s="47">
        <f t="shared" si="78"/>
        <v>0</v>
      </c>
      <c r="EI28" s="47">
        <f t="shared" si="78"/>
        <v>0</v>
      </c>
      <c r="EJ28" s="47">
        <f t="shared" si="78"/>
        <v>0</v>
      </c>
      <c r="EK28" s="47">
        <f t="shared" si="78"/>
        <v>0</v>
      </c>
      <c r="EL28" s="47">
        <f t="shared" si="78"/>
        <v>0</v>
      </c>
      <c r="EM28" s="47">
        <f t="shared" si="78"/>
        <v>0</v>
      </c>
      <c r="EN28" s="47">
        <f t="shared" si="78"/>
        <v>0</v>
      </c>
      <c r="EO28" s="47">
        <f t="shared" si="78"/>
        <v>0</v>
      </c>
      <c r="EP28" s="47">
        <f t="shared" si="78"/>
        <v>0</v>
      </c>
      <c r="EQ28" s="47">
        <f t="shared" si="78"/>
        <v>0</v>
      </c>
    </row>
    <row r="29" spans="1:147" x14ac:dyDescent="0.3">
      <c r="BE29" s="41"/>
    </row>
    <row r="30" spans="1:147" x14ac:dyDescent="0.3">
      <c r="X30" s="45">
        <f>W20-X20</f>
        <v>2.8571428570103308E-3</v>
      </c>
      <c r="BE30" s="41"/>
    </row>
    <row r="31" spans="1:147" x14ac:dyDescent="0.3">
      <c r="A31" s="40" t="s">
        <v>19</v>
      </c>
      <c r="B31" s="44"/>
      <c r="BE31" s="41"/>
    </row>
    <row r="32" spans="1:147" x14ac:dyDescent="0.3">
      <c r="BE32" s="41"/>
    </row>
    <row r="33" spans="1:147" s="43" customFormat="1" x14ac:dyDescent="0.3">
      <c r="B33" s="42"/>
      <c r="C33" s="43">
        <f>C17</f>
        <v>44439</v>
      </c>
      <c r="D33" s="43">
        <f t="shared" ref="D33:AI33" si="79">EOMONTH(C33,1)</f>
        <v>44469</v>
      </c>
      <c r="E33" s="43">
        <f t="shared" si="79"/>
        <v>44500</v>
      </c>
      <c r="F33" s="43">
        <f t="shared" si="79"/>
        <v>44530</v>
      </c>
      <c r="G33" s="43">
        <f t="shared" si="79"/>
        <v>44561</v>
      </c>
      <c r="H33" s="43">
        <f t="shared" si="79"/>
        <v>44592</v>
      </c>
      <c r="I33" s="43">
        <f t="shared" si="79"/>
        <v>44620</v>
      </c>
      <c r="J33" s="43">
        <f t="shared" si="79"/>
        <v>44651</v>
      </c>
      <c r="K33" s="43">
        <f t="shared" si="79"/>
        <v>44681</v>
      </c>
      <c r="L33" s="43">
        <f t="shared" si="79"/>
        <v>44712</v>
      </c>
      <c r="M33" s="43">
        <f t="shared" si="79"/>
        <v>44742</v>
      </c>
      <c r="N33" s="43">
        <f t="shared" si="79"/>
        <v>44773</v>
      </c>
      <c r="O33" s="43">
        <f t="shared" si="79"/>
        <v>44804</v>
      </c>
      <c r="P33" s="43">
        <f t="shared" si="79"/>
        <v>44834</v>
      </c>
      <c r="Q33" s="43">
        <f t="shared" si="79"/>
        <v>44865</v>
      </c>
      <c r="R33" s="43">
        <f t="shared" si="79"/>
        <v>44895</v>
      </c>
      <c r="S33" s="43">
        <f t="shared" si="79"/>
        <v>44926</v>
      </c>
      <c r="T33" s="43">
        <f t="shared" si="79"/>
        <v>44957</v>
      </c>
      <c r="U33" s="43">
        <f t="shared" si="79"/>
        <v>44985</v>
      </c>
      <c r="V33" s="43">
        <f t="shared" si="79"/>
        <v>45016</v>
      </c>
      <c r="W33" s="43">
        <f t="shared" si="79"/>
        <v>45046</v>
      </c>
      <c r="X33" s="43">
        <f t="shared" si="79"/>
        <v>45077</v>
      </c>
      <c r="Y33" s="43">
        <f t="shared" si="79"/>
        <v>45107</v>
      </c>
      <c r="Z33" s="43">
        <f t="shared" si="79"/>
        <v>45138</v>
      </c>
      <c r="AA33" s="43">
        <f t="shared" si="79"/>
        <v>45169</v>
      </c>
      <c r="AB33" s="43">
        <f t="shared" si="79"/>
        <v>45199</v>
      </c>
      <c r="AC33" s="43">
        <f t="shared" si="79"/>
        <v>45230</v>
      </c>
      <c r="AD33" s="43">
        <f t="shared" si="79"/>
        <v>45260</v>
      </c>
      <c r="AE33" s="43">
        <f t="shared" si="79"/>
        <v>45291</v>
      </c>
      <c r="AF33" s="43">
        <f t="shared" si="79"/>
        <v>45322</v>
      </c>
      <c r="AG33" s="43">
        <f t="shared" si="79"/>
        <v>45351</v>
      </c>
      <c r="AH33" s="43">
        <f t="shared" si="79"/>
        <v>45382</v>
      </c>
      <c r="AI33" s="43">
        <f t="shared" si="79"/>
        <v>45412</v>
      </c>
      <c r="AJ33" s="43">
        <f t="shared" ref="AJ33:BO33" si="80">EOMONTH(AI33,1)</f>
        <v>45443</v>
      </c>
      <c r="AK33" s="43">
        <f t="shared" si="80"/>
        <v>45473</v>
      </c>
      <c r="AL33" s="43">
        <f t="shared" si="80"/>
        <v>45504</v>
      </c>
      <c r="AM33" s="43">
        <f t="shared" si="80"/>
        <v>45535</v>
      </c>
      <c r="AN33" s="43">
        <f t="shared" si="80"/>
        <v>45565</v>
      </c>
      <c r="AO33" s="43">
        <f t="shared" si="80"/>
        <v>45596</v>
      </c>
      <c r="AP33" s="43">
        <f t="shared" si="80"/>
        <v>45626</v>
      </c>
      <c r="AQ33" s="43">
        <f t="shared" si="80"/>
        <v>45657</v>
      </c>
      <c r="AR33" s="199">
        <f t="shared" si="80"/>
        <v>45688</v>
      </c>
      <c r="AS33" s="199">
        <f t="shared" si="80"/>
        <v>45716</v>
      </c>
      <c r="AT33" s="199">
        <f t="shared" si="80"/>
        <v>45747</v>
      </c>
      <c r="AU33" s="199">
        <f t="shared" si="80"/>
        <v>45777</v>
      </c>
      <c r="AV33" s="199">
        <f t="shared" si="80"/>
        <v>45808</v>
      </c>
      <c r="AW33" s="199">
        <f t="shared" si="80"/>
        <v>45838</v>
      </c>
      <c r="AX33" s="199">
        <f t="shared" si="80"/>
        <v>45869</v>
      </c>
      <c r="AY33" s="199">
        <f t="shared" si="80"/>
        <v>45900</v>
      </c>
      <c r="AZ33" s="199">
        <f t="shared" si="80"/>
        <v>45930</v>
      </c>
      <c r="BA33" s="199">
        <f t="shared" si="80"/>
        <v>45961</v>
      </c>
      <c r="BB33" s="199">
        <f t="shared" si="80"/>
        <v>45991</v>
      </c>
      <c r="BC33" s="199">
        <f t="shared" si="80"/>
        <v>46022</v>
      </c>
      <c r="BD33" s="43">
        <f t="shared" si="80"/>
        <v>46053</v>
      </c>
      <c r="BE33" s="43">
        <f t="shared" si="80"/>
        <v>46081</v>
      </c>
      <c r="BF33" s="43">
        <f t="shared" si="80"/>
        <v>46112</v>
      </c>
      <c r="BG33" s="43">
        <f t="shared" si="80"/>
        <v>46142</v>
      </c>
      <c r="BH33" s="43">
        <f t="shared" si="80"/>
        <v>46173</v>
      </c>
      <c r="BI33" s="43">
        <f t="shared" si="80"/>
        <v>46203</v>
      </c>
      <c r="BJ33" s="43">
        <f t="shared" si="80"/>
        <v>46234</v>
      </c>
      <c r="BK33" s="43">
        <f t="shared" si="80"/>
        <v>46265</v>
      </c>
      <c r="BL33" s="43">
        <f t="shared" si="80"/>
        <v>46295</v>
      </c>
      <c r="BM33" s="43">
        <f t="shared" si="80"/>
        <v>46326</v>
      </c>
      <c r="BN33" s="43">
        <f t="shared" si="80"/>
        <v>46356</v>
      </c>
      <c r="BO33" s="43">
        <f t="shared" si="80"/>
        <v>46387</v>
      </c>
      <c r="BP33" s="43">
        <f t="shared" ref="BP33:CU33" si="81">EOMONTH(BO33,1)</f>
        <v>46418</v>
      </c>
      <c r="BQ33" s="43">
        <f t="shared" si="81"/>
        <v>46446</v>
      </c>
      <c r="BR33" s="43">
        <f t="shared" si="81"/>
        <v>46477</v>
      </c>
      <c r="BS33" s="43">
        <f t="shared" si="81"/>
        <v>46507</v>
      </c>
      <c r="BT33" s="43">
        <f t="shared" si="81"/>
        <v>46538</v>
      </c>
      <c r="BU33" s="43">
        <f t="shared" si="81"/>
        <v>46568</v>
      </c>
      <c r="BV33" s="43">
        <f t="shared" si="81"/>
        <v>46599</v>
      </c>
      <c r="BW33" s="43">
        <f t="shared" si="81"/>
        <v>46630</v>
      </c>
      <c r="BX33" s="43">
        <f t="shared" si="81"/>
        <v>46660</v>
      </c>
      <c r="BY33" s="43">
        <f t="shared" si="81"/>
        <v>46691</v>
      </c>
      <c r="BZ33" s="43">
        <f t="shared" si="81"/>
        <v>46721</v>
      </c>
      <c r="CA33" s="43">
        <f t="shared" si="81"/>
        <v>46752</v>
      </c>
      <c r="CB33" s="43">
        <f t="shared" si="81"/>
        <v>46783</v>
      </c>
      <c r="CC33" s="43">
        <f t="shared" si="81"/>
        <v>46812</v>
      </c>
      <c r="CD33" s="43">
        <f t="shared" si="81"/>
        <v>46843</v>
      </c>
      <c r="CE33" s="43">
        <f t="shared" si="81"/>
        <v>46873</v>
      </c>
      <c r="CF33" s="43">
        <f t="shared" si="81"/>
        <v>46904</v>
      </c>
      <c r="CG33" s="43">
        <f t="shared" si="81"/>
        <v>46934</v>
      </c>
      <c r="CH33" s="43">
        <f t="shared" si="81"/>
        <v>46965</v>
      </c>
      <c r="CI33" s="43">
        <f t="shared" si="81"/>
        <v>46996</v>
      </c>
      <c r="CJ33" s="43">
        <f t="shared" si="81"/>
        <v>47026</v>
      </c>
      <c r="CK33" s="43">
        <f t="shared" si="81"/>
        <v>47057</v>
      </c>
      <c r="CL33" s="43">
        <f t="shared" si="81"/>
        <v>47087</v>
      </c>
      <c r="CM33" s="43">
        <f t="shared" si="81"/>
        <v>47118</v>
      </c>
      <c r="CN33" s="43">
        <f t="shared" si="81"/>
        <v>47149</v>
      </c>
      <c r="CO33" s="43">
        <f t="shared" si="81"/>
        <v>47177</v>
      </c>
      <c r="CP33" s="43">
        <f t="shared" si="81"/>
        <v>47208</v>
      </c>
      <c r="CQ33" s="43">
        <f t="shared" si="81"/>
        <v>47238</v>
      </c>
      <c r="CR33" s="43">
        <f t="shared" si="81"/>
        <v>47269</v>
      </c>
      <c r="CS33" s="43">
        <f t="shared" si="81"/>
        <v>47299</v>
      </c>
      <c r="CT33" s="43">
        <f t="shared" si="81"/>
        <v>47330</v>
      </c>
      <c r="CU33" s="43">
        <f t="shared" si="81"/>
        <v>47361</v>
      </c>
      <c r="CV33" s="43">
        <f t="shared" ref="CV33:EA33" si="82">EOMONTH(CU33,1)</f>
        <v>47391</v>
      </c>
      <c r="CW33" s="43">
        <f t="shared" si="82"/>
        <v>47422</v>
      </c>
      <c r="CX33" s="43">
        <f t="shared" si="82"/>
        <v>47452</v>
      </c>
      <c r="CY33" s="43">
        <f t="shared" si="82"/>
        <v>47483</v>
      </c>
      <c r="CZ33" s="43">
        <f t="shared" si="82"/>
        <v>47514</v>
      </c>
      <c r="DA33" s="43">
        <f t="shared" si="82"/>
        <v>47542</v>
      </c>
      <c r="DB33" s="43">
        <f t="shared" si="82"/>
        <v>47573</v>
      </c>
      <c r="DC33" s="43">
        <f t="shared" si="82"/>
        <v>47603</v>
      </c>
      <c r="DD33" s="43">
        <f t="shared" si="82"/>
        <v>47634</v>
      </c>
      <c r="DE33" s="43">
        <f t="shared" si="82"/>
        <v>47664</v>
      </c>
      <c r="DF33" s="43">
        <f t="shared" si="82"/>
        <v>47695</v>
      </c>
      <c r="DG33" s="43">
        <f t="shared" si="82"/>
        <v>47726</v>
      </c>
      <c r="DH33" s="43">
        <f t="shared" si="82"/>
        <v>47756</v>
      </c>
      <c r="DI33" s="43">
        <f t="shared" si="82"/>
        <v>47787</v>
      </c>
      <c r="DJ33" s="43">
        <f t="shared" si="82"/>
        <v>47817</v>
      </c>
      <c r="DK33" s="43">
        <f t="shared" si="82"/>
        <v>47848</v>
      </c>
      <c r="DL33" s="43">
        <f t="shared" si="82"/>
        <v>47879</v>
      </c>
      <c r="DM33" s="43">
        <f t="shared" si="82"/>
        <v>47907</v>
      </c>
      <c r="DN33" s="43">
        <f t="shared" si="82"/>
        <v>47938</v>
      </c>
      <c r="DO33" s="43">
        <f t="shared" si="82"/>
        <v>47968</v>
      </c>
      <c r="DP33" s="43">
        <f t="shared" si="82"/>
        <v>47999</v>
      </c>
      <c r="DQ33" s="43">
        <f t="shared" si="82"/>
        <v>48029</v>
      </c>
      <c r="DR33" s="43">
        <f t="shared" si="82"/>
        <v>48060</v>
      </c>
      <c r="DS33" s="43">
        <f t="shared" si="82"/>
        <v>48091</v>
      </c>
      <c r="DT33" s="43">
        <f t="shared" si="82"/>
        <v>48121</v>
      </c>
      <c r="DU33" s="43">
        <f t="shared" si="82"/>
        <v>48152</v>
      </c>
      <c r="DV33" s="43">
        <f t="shared" si="82"/>
        <v>48182</v>
      </c>
      <c r="DW33" s="43">
        <f t="shared" si="82"/>
        <v>48213</v>
      </c>
      <c r="DX33" s="43">
        <f t="shared" si="82"/>
        <v>48244</v>
      </c>
      <c r="DY33" s="43">
        <f t="shared" si="82"/>
        <v>48273</v>
      </c>
      <c r="DZ33" s="43">
        <f t="shared" si="82"/>
        <v>48304</v>
      </c>
      <c r="EA33" s="43">
        <f t="shared" si="82"/>
        <v>48334</v>
      </c>
      <c r="EB33" s="43">
        <f t="shared" ref="EB33:EQ33" si="83">EOMONTH(EA33,1)</f>
        <v>48365</v>
      </c>
      <c r="EC33" s="43">
        <f t="shared" si="83"/>
        <v>48395</v>
      </c>
      <c r="ED33" s="43">
        <f t="shared" si="83"/>
        <v>48426</v>
      </c>
      <c r="EE33" s="43">
        <f t="shared" si="83"/>
        <v>48457</v>
      </c>
      <c r="EF33" s="43">
        <f t="shared" si="83"/>
        <v>48487</v>
      </c>
      <c r="EG33" s="43">
        <f t="shared" si="83"/>
        <v>48518</v>
      </c>
      <c r="EH33" s="43">
        <f t="shared" si="83"/>
        <v>48548</v>
      </c>
      <c r="EI33" s="43">
        <f t="shared" si="83"/>
        <v>48579</v>
      </c>
      <c r="EJ33" s="43">
        <f t="shared" si="83"/>
        <v>48610</v>
      </c>
      <c r="EK33" s="43">
        <f t="shared" si="83"/>
        <v>48638</v>
      </c>
      <c r="EL33" s="43">
        <f t="shared" si="83"/>
        <v>48669</v>
      </c>
      <c r="EM33" s="43">
        <f t="shared" si="83"/>
        <v>48699</v>
      </c>
      <c r="EN33" s="43">
        <f t="shared" si="83"/>
        <v>48730</v>
      </c>
      <c r="EO33" s="43">
        <f t="shared" si="83"/>
        <v>48760</v>
      </c>
      <c r="EP33" s="43">
        <f t="shared" si="83"/>
        <v>48791</v>
      </c>
      <c r="EQ33" s="43">
        <f t="shared" si="83"/>
        <v>48822</v>
      </c>
    </row>
    <row r="34" spans="1:147" s="43" customFormat="1" x14ac:dyDescent="0.3">
      <c r="A34" s="41" t="s">
        <v>128</v>
      </c>
      <c r="B34" s="42"/>
      <c r="C34" s="45">
        <f t="shared" ref="C34:AH34" si="84">C18+B34</f>
        <v>6329.9080952380955</v>
      </c>
      <c r="D34" s="45">
        <f t="shared" si="84"/>
        <v>7121.1461904761909</v>
      </c>
      <c r="E34" s="45">
        <f t="shared" si="84"/>
        <v>7912.3842857142863</v>
      </c>
      <c r="F34" s="45">
        <f t="shared" si="84"/>
        <v>8703.6223809523817</v>
      </c>
      <c r="G34" s="45">
        <f t="shared" si="84"/>
        <v>9494.8604761904771</v>
      </c>
      <c r="H34" s="45">
        <f t="shared" si="84"/>
        <v>10286.098571428573</v>
      </c>
      <c r="I34" s="45">
        <f t="shared" si="84"/>
        <v>11077.336666666668</v>
      </c>
      <c r="J34" s="45">
        <f t="shared" si="84"/>
        <v>11868.574761904763</v>
      </c>
      <c r="K34" s="45">
        <f t="shared" si="84"/>
        <v>12659.812857142859</v>
      </c>
      <c r="L34" s="45">
        <f t="shared" si="84"/>
        <v>13451.050952380954</v>
      </c>
      <c r="M34" s="45">
        <f t="shared" si="84"/>
        <v>14242.28904761905</v>
      </c>
      <c r="N34" s="45">
        <f t="shared" si="84"/>
        <v>15033.527142857145</v>
      </c>
      <c r="O34" s="45">
        <f t="shared" si="84"/>
        <v>15824.76523809524</v>
      </c>
      <c r="P34" s="45">
        <f t="shared" si="84"/>
        <v>16616.003333333334</v>
      </c>
      <c r="Q34" s="45">
        <f t="shared" si="84"/>
        <v>17407.241428571429</v>
      </c>
      <c r="R34" s="45">
        <f t="shared" si="84"/>
        <v>18198.479523809525</v>
      </c>
      <c r="S34" s="45">
        <f t="shared" si="84"/>
        <v>18989.71761904762</v>
      </c>
      <c r="T34" s="45">
        <f t="shared" si="84"/>
        <v>19780.955714285716</v>
      </c>
      <c r="U34" s="45">
        <f t="shared" si="84"/>
        <v>20572.193809523811</v>
      </c>
      <c r="V34" s="45">
        <f t="shared" si="84"/>
        <v>21363.431904761906</v>
      </c>
      <c r="W34" s="45">
        <f t="shared" si="84"/>
        <v>22154.670000000002</v>
      </c>
      <c r="X34" s="45">
        <f t="shared" si="84"/>
        <v>22945.908095238097</v>
      </c>
      <c r="Y34" s="45">
        <f t="shared" si="84"/>
        <v>23737.146190476193</v>
      </c>
      <c r="Z34" s="45">
        <f t="shared" si="84"/>
        <v>24528.384285714288</v>
      </c>
      <c r="AA34" s="45">
        <f t="shared" si="84"/>
        <v>25319.622380952384</v>
      </c>
      <c r="AB34" s="45">
        <f t="shared" si="84"/>
        <v>26110.860476190479</v>
      </c>
      <c r="AC34" s="45">
        <f t="shared" si="84"/>
        <v>26902.098571428574</v>
      </c>
      <c r="AD34" s="45">
        <f t="shared" si="84"/>
        <v>27693.33666666667</v>
      </c>
      <c r="AE34" s="45">
        <f t="shared" si="84"/>
        <v>28484.574761904765</v>
      </c>
      <c r="AF34" s="45">
        <f t="shared" si="84"/>
        <v>29275.812857142861</v>
      </c>
      <c r="AG34" s="45">
        <f t="shared" si="84"/>
        <v>30067.050952380956</v>
      </c>
      <c r="AH34" s="45">
        <f t="shared" si="84"/>
        <v>30858.289047619051</v>
      </c>
      <c r="AI34" s="45">
        <f t="shared" ref="AI34:BN34" si="85">AI18+AH34</f>
        <v>31649.527142857147</v>
      </c>
      <c r="AJ34" s="45">
        <f t="shared" si="85"/>
        <v>32440.765238095242</v>
      </c>
      <c r="AK34" s="45">
        <f t="shared" si="85"/>
        <v>33232.003333333334</v>
      </c>
      <c r="AL34" s="45">
        <f t="shared" si="85"/>
        <v>34023.241428571426</v>
      </c>
      <c r="AM34" s="45">
        <f t="shared" si="85"/>
        <v>34814.479523809518</v>
      </c>
      <c r="AN34" s="45">
        <f t="shared" si="85"/>
        <v>35605.717619047609</v>
      </c>
      <c r="AO34" s="45">
        <f t="shared" si="85"/>
        <v>36396.955714285701</v>
      </c>
      <c r="AP34" s="45">
        <f t="shared" si="85"/>
        <v>37188.193809523793</v>
      </c>
      <c r="AQ34" s="45">
        <f t="shared" si="85"/>
        <v>37979.431904761885</v>
      </c>
      <c r="AR34" s="204">
        <f t="shared" si="85"/>
        <v>38770.669999999976</v>
      </c>
      <c r="AS34" s="204">
        <f t="shared" si="85"/>
        <v>39561.908095238068</v>
      </c>
      <c r="AT34" s="204">
        <f t="shared" si="85"/>
        <v>40353.14619047616</v>
      </c>
      <c r="AU34" s="204">
        <f t="shared" si="85"/>
        <v>41144.384285714252</v>
      </c>
      <c r="AV34" s="204">
        <f t="shared" si="85"/>
        <v>41935.622380952344</v>
      </c>
      <c r="AW34" s="204">
        <f t="shared" si="85"/>
        <v>42726.860476190435</v>
      </c>
      <c r="AX34" s="204">
        <f t="shared" si="85"/>
        <v>43518.098571428527</v>
      </c>
      <c r="AY34" s="204">
        <f t="shared" si="85"/>
        <v>44309.336666666619</v>
      </c>
      <c r="AZ34" s="204">
        <f t="shared" si="85"/>
        <v>45100.574761904711</v>
      </c>
      <c r="BA34" s="204">
        <f t="shared" si="85"/>
        <v>45891.812857142802</v>
      </c>
      <c r="BB34" s="204">
        <f t="shared" si="85"/>
        <v>46683.050952380894</v>
      </c>
      <c r="BC34" s="204">
        <f t="shared" si="85"/>
        <v>47474.289047618986</v>
      </c>
      <c r="BD34" s="45">
        <f t="shared" si="85"/>
        <v>48265.527142857078</v>
      </c>
      <c r="BE34" s="45">
        <f t="shared" si="85"/>
        <v>49056.765238095169</v>
      </c>
      <c r="BF34" s="45">
        <f t="shared" si="85"/>
        <v>49848.003333333261</v>
      </c>
      <c r="BG34" s="45">
        <f t="shared" si="85"/>
        <v>50639.241428571353</v>
      </c>
      <c r="BH34" s="45">
        <f t="shared" si="85"/>
        <v>51430.479523809445</v>
      </c>
      <c r="BI34" s="45">
        <f t="shared" si="85"/>
        <v>52221.717619047537</v>
      </c>
      <c r="BJ34" s="45">
        <f t="shared" si="85"/>
        <v>53012.955714285628</v>
      </c>
      <c r="BK34" s="45">
        <f t="shared" si="85"/>
        <v>53804.19380952372</v>
      </c>
      <c r="BL34" s="45">
        <f t="shared" si="85"/>
        <v>54595.431904761812</v>
      </c>
      <c r="BM34" s="45">
        <f t="shared" si="85"/>
        <v>55386.669999999904</v>
      </c>
      <c r="BN34" s="45">
        <f t="shared" si="85"/>
        <v>56177.908095237995</v>
      </c>
      <c r="BO34" s="45">
        <f t="shared" ref="BO34:CT34" si="86">BO18+BN34</f>
        <v>56969.146190476087</v>
      </c>
      <c r="BP34" s="45">
        <f t="shared" si="86"/>
        <v>57760.384285714179</v>
      </c>
      <c r="BQ34" s="45">
        <f t="shared" si="86"/>
        <v>58551.622380952271</v>
      </c>
      <c r="BR34" s="45">
        <f t="shared" si="86"/>
        <v>59342.860476190363</v>
      </c>
      <c r="BS34" s="45">
        <f t="shared" si="86"/>
        <v>60134.098571428454</v>
      </c>
      <c r="BT34" s="45">
        <f t="shared" si="86"/>
        <v>60925.336666666546</v>
      </c>
      <c r="BU34" s="45">
        <f t="shared" si="86"/>
        <v>61716.574761904638</v>
      </c>
      <c r="BV34" s="45">
        <f t="shared" si="86"/>
        <v>62507.81285714273</v>
      </c>
      <c r="BW34" s="45">
        <f t="shared" si="86"/>
        <v>63299.050952380821</v>
      </c>
      <c r="BX34" s="45">
        <f t="shared" si="86"/>
        <v>64090.289047618913</v>
      </c>
      <c r="BY34" s="45">
        <f t="shared" si="86"/>
        <v>64881.527142857005</v>
      </c>
      <c r="BZ34" s="45">
        <f t="shared" si="86"/>
        <v>65672.765238095104</v>
      </c>
      <c r="CA34" s="45">
        <f t="shared" si="86"/>
        <v>66464.003333333196</v>
      </c>
      <c r="CB34" s="45">
        <f t="shared" si="86"/>
        <v>66464.003333333196</v>
      </c>
      <c r="CC34" s="45">
        <f t="shared" si="86"/>
        <v>66464.003333333196</v>
      </c>
      <c r="CD34" s="45">
        <f t="shared" si="86"/>
        <v>66464.003333333196</v>
      </c>
      <c r="CE34" s="45">
        <f t="shared" si="86"/>
        <v>66464.003333333196</v>
      </c>
      <c r="CF34" s="45">
        <f t="shared" si="86"/>
        <v>66464.003333333196</v>
      </c>
      <c r="CG34" s="45">
        <f t="shared" si="86"/>
        <v>66464.003333333196</v>
      </c>
      <c r="CH34" s="45">
        <f t="shared" si="86"/>
        <v>66464.003333333196</v>
      </c>
      <c r="CI34" s="45">
        <f t="shared" si="86"/>
        <v>66464.003333333196</v>
      </c>
      <c r="CJ34" s="45">
        <f t="shared" si="86"/>
        <v>66464.003333333196</v>
      </c>
      <c r="CK34" s="45">
        <f t="shared" si="86"/>
        <v>66464.003333333196</v>
      </c>
      <c r="CL34" s="45">
        <f t="shared" si="86"/>
        <v>66464.003333333196</v>
      </c>
      <c r="CM34" s="45">
        <f t="shared" si="86"/>
        <v>66464.003333333196</v>
      </c>
      <c r="CN34" s="45">
        <f t="shared" si="86"/>
        <v>66464.003333333196</v>
      </c>
      <c r="CO34" s="45">
        <f t="shared" si="86"/>
        <v>66464.003333333196</v>
      </c>
      <c r="CP34" s="45">
        <f t="shared" si="86"/>
        <v>66464.003333333196</v>
      </c>
      <c r="CQ34" s="45">
        <f t="shared" si="86"/>
        <v>66464.003333333196</v>
      </c>
      <c r="CR34" s="45">
        <f t="shared" si="86"/>
        <v>66464.003333333196</v>
      </c>
      <c r="CS34" s="45">
        <f t="shared" si="86"/>
        <v>66464.003333333196</v>
      </c>
      <c r="CT34" s="45">
        <f t="shared" si="86"/>
        <v>66464.003333333196</v>
      </c>
      <c r="CU34" s="45">
        <f t="shared" ref="CU34:DZ34" si="87">CU18+CT34</f>
        <v>66464.003333333196</v>
      </c>
      <c r="CV34" s="45">
        <f t="shared" si="87"/>
        <v>66464.003333333196</v>
      </c>
      <c r="CW34" s="45">
        <f t="shared" si="87"/>
        <v>66464.003333333196</v>
      </c>
      <c r="CX34" s="45">
        <f t="shared" si="87"/>
        <v>66464.003333333196</v>
      </c>
      <c r="CY34" s="45">
        <f t="shared" si="87"/>
        <v>66464.003333333196</v>
      </c>
      <c r="CZ34" s="45">
        <f t="shared" si="87"/>
        <v>66464.003333333196</v>
      </c>
      <c r="DA34" s="45">
        <f t="shared" si="87"/>
        <v>66464.003333333196</v>
      </c>
      <c r="DB34" s="45">
        <f t="shared" si="87"/>
        <v>66464.003333333196</v>
      </c>
      <c r="DC34" s="45">
        <f t="shared" si="87"/>
        <v>66464.003333333196</v>
      </c>
      <c r="DD34" s="45">
        <f t="shared" si="87"/>
        <v>66464.003333333196</v>
      </c>
      <c r="DE34" s="45">
        <f t="shared" si="87"/>
        <v>66464.003333333196</v>
      </c>
      <c r="DF34" s="45">
        <f t="shared" si="87"/>
        <v>66464.003333333196</v>
      </c>
      <c r="DG34" s="45">
        <f t="shared" si="87"/>
        <v>66464.003333333196</v>
      </c>
      <c r="DH34" s="45">
        <f t="shared" si="87"/>
        <v>66464.003333333196</v>
      </c>
      <c r="DI34" s="45">
        <f t="shared" si="87"/>
        <v>66464.003333333196</v>
      </c>
      <c r="DJ34" s="45">
        <f t="shared" si="87"/>
        <v>66464.003333333196</v>
      </c>
      <c r="DK34" s="45">
        <f t="shared" si="87"/>
        <v>66464.003333333196</v>
      </c>
      <c r="DL34" s="45">
        <f t="shared" si="87"/>
        <v>66464.003333333196</v>
      </c>
      <c r="DM34" s="45">
        <f t="shared" si="87"/>
        <v>66464.003333333196</v>
      </c>
      <c r="DN34" s="45">
        <f t="shared" si="87"/>
        <v>66464.003333333196</v>
      </c>
      <c r="DO34" s="45">
        <f t="shared" si="87"/>
        <v>66464.003333333196</v>
      </c>
      <c r="DP34" s="45">
        <f t="shared" si="87"/>
        <v>66464.003333333196</v>
      </c>
      <c r="DQ34" s="45">
        <f t="shared" si="87"/>
        <v>66464.003333333196</v>
      </c>
      <c r="DR34" s="45">
        <f t="shared" si="87"/>
        <v>66464.003333333196</v>
      </c>
      <c r="DS34" s="45">
        <f t="shared" si="87"/>
        <v>66464.003333333196</v>
      </c>
      <c r="DT34" s="45">
        <f t="shared" si="87"/>
        <v>66464.003333333196</v>
      </c>
      <c r="DU34" s="45">
        <f t="shared" si="87"/>
        <v>66464.003333333196</v>
      </c>
      <c r="DV34" s="45">
        <f t="shared" si="87"/>
        <v>66464.003333333196</v>
      </c>
      <c r="DW34" s="45">
        <f t="shared" si="87"/>
        <v>66464.003333333196</v>
      </c>
      <c r="DX34" s="45">
        <f t="shared" si="87"/>
        <v>66464.003333333196</v>
      </c>
      <c r="DY34" s="45">
        <f t="shared" si="87"/>
        <v>66464.003333333196</v>
      </c>
      <c r="DZ34" s="45">
        <f t="shared" si="87"/>
        <v>66464.003333333196</v>
      </c>
      <c r="EA34" s="45">
        <f t="shared" ref="EA34:EQ34" si="88">EA18+DZ34</f>
        <v>66464.003333333196</v>
      </c>
      <c r="EB34" s="45">
        <f t="shared" si="88"/>
        <v>66464.003333333196</v>
      </c>
      <c r="EC34" s="45">
        <f t="shared" si="88"/>
        <v>66464.003333333196</v>
      </c>
      <c r="ED34" s="45">
        <f t="shared" si="88"/>
        <v>66464.003333333196</v>
      </c>
      <c r="EE34" s="45">
        <f t="shared" si="88"/>
        <v>66464.003333333196</v>
      </c>
      <c r="EF34" s="45">
        <f t="shared" si="88"/>
        <v>66464.003333333196</v>
      </c>
      <c r="EG34" s="45">
        <f t="shared" si="88"/>
        <v>66464.003333333196</v>
      </c>
      <c r="EH34" s="45">
        <f t="shared" si="88"/>
        <v>66464.003333333196</v>
      </c>
      <c r="EI34" s="45">
        <f t="shared" si="88"/>
        <v>66464.003333333196</v>
      </c>
      <c r="EJ34" s="45">
        <f t="shared" si="88"/>
        <v>66464.003333333196</v>
      </c>
      <c r="EK34" s="45">
        <f t="shared" si="88"/>
        <v>66464.003333333196</v>
      </c>
      <c r="EL34" s="45">
        <f t="shared" si="88"/>
        <v>66464.003333333196</v>
      </c>
      <c r="EM34" s="45">
        <f t="shared" si="88"/>
        <v>66464.003333333196</v>
      </c>
      <c r="EN34" s="45">
        <f t="shared" si="88"/>
        <v>66464.003333333196</v>
      </c>
      <c r="EO34" s="45">
        <f t="shared" si="88"/>
        <v>66464.003333333196</v>
      </c>
      <c r="EP34" s="45">
        <f t="shared" si="88"/>
        <v>66464.003333333196</v>
      </c>
      <c r="EQ34" s="45">
        <f t="shared" si="88"/>
        <v>66464.003333333196</v>
      </c>
    </row>
    <row r="35" spans="1:147" s="43" customFormat="1" x14ac:dyDescent="0.3">
      <c r="A35" s="207" t="s">
        <v>129</v>
      </c>
      <c r="B35" s="42"/>
      <c r="C35" s="45">
        <f t="shared" ref="C35:AJ35" si="89">C19+B35</f>
        <v>6190.47</v>
      </c>
      <c r="D35" s="45">
        <f t="shared" si="89"/>
        <v>6964.2795238095241</v>
      </c>
      <c r="E35" s="45">
        <f t="shared" si="89"/>
        <v>7738.089047619048</v>
      </c>
      <c r="F35" s="45">
        <f t="shared" si="89"/>
        <v>8511.8985714285718</v>
      </c>
      <c r="G35" s="45">
        <f t="shared" si="89"/>
        <v>9285.7080952380966</v>
      </c>
      <c r="H35" s="45">
        <f t="shared" si="89"/>
        <v>10059.51761904762</v>
      </c>
      <c r="I35" s="45">
        <f t="shared" si="89"/>
        <v>10833.327142857142</v>
      </c>
      <c r="J35" s="45">
        <f t="shared" si="89"/>
        <v>11607.136666666665</v>
      </c>
      <c r="K35" s="45">
        <f t="shared" si="89"/>
        <v>12380.946190476188</v>
      </c>
      <c r="L35" s="45">
        <f t="shared" si="89"/>
        <v>13154.755714285711</v>
      </c>
      <c r="M35" s="45">
        <f t="shared" si="89"/>
        <v>13928.565238095234</v>
      </c>
      <c r="N35" s="45">
        <f t="shared" si="89"/>
        <v>14702.374761904757</v>
      </c>
      <c r="O35" s="45">
        <f t="shared" si="89"/>
        <v>15476.18428571428</v>
      </c>
      <c r="P35" s="45">
        <f t="shared" si="89"/>
        <v>16249.993809523803</v>
      </c>
      <c r="Q35" s="45">
        <f t="shared" si="89"/>
        <v>17023.803333333326</v>
      </c>
      <c r="R35" s="45">
        <f t="shared" si="89"/>
        <v>17797.612857142849</v>
      </c>
      <c r="S35" s="45">
        <f t="shared" si="89"/>
        <v>18571.422380952372</v>
      </c>
      <c r="T35" s="45">
        <f t="shared" si="89"/>
        <v>19345.231904761895</v>
      </c>
      <c r="U35" s="45">
        <f t="shared" si="89"/>
        <v>20119.041428571418</v>
      </c>
      <c r="V35" s="45">
        <f t="shared" si="89"/>
        <v>20892.850952380941</v>
      </c>
      <c r="W35" s="45">
        <f t="shared" si="89"/>
        <v>21666.660476190464</v>
      </c>
      <c r="X35" s="45">
        <f t="shared" si="89"/>
        <v>22440.469999999987</v>
      </c>
      <c r="Y35" s="45">
        <f t="shared" si="89"/>
        <v>23214.27952380951</v>
      </c>
      <c r="Z35" s="45">
        <f t="shared" si="89"/>
        <v>23988.089047619032</v>
      </c>
      <c r="AA35" s="45">
        <f t="shared" si="89"/>
        <v>24761.898571428555</v>
      </c>
      <c r="AB35" s="45">
        <f t="shared" si="89"/>
        <v>25535.708095238078</v>
      </c>
      <c r="AC35" s="45">
        <f t="shared" si="89"/>
        <v>26309.517619047601</v>
      </c>
      <c r="AD35" s="45">
        <f t="shared" si="89"/>
        <v>27083.327142857124</v>
      </c>
      <c r="AE35" s="45">
        <f t="shared" si="89"/>
        <v>27857.136666666647</v>
      </c>
      <c r="AF35" s="45">
        <f t="shared" si="89"/>
        <v>28630.94619047617</v>
      </c>
      <c r="AG35" s="45">
        <f t="shared" si="89"/>
        <v>29404.755714285693</v>
      </c>
      <c r="AH35" s="45">
        <f t="shared" si="89"/>
        <v>30178.565238095216</v>
      </c>
      <c r="AI35" s="45">
        <f t="shared" si="89"/>
        <v>30952.374761904739</v>
      </c>
      <c r="AJ35" s="45">
        <f t="shared" si="89"/>
        <v>31726.184285714262</v>
      </c>
      <c r="AK35" s="45"/>
      <c r="AL35" s="45"/>
      <c r="AM35" s="45"/>
      <c r="AN35" s="45"/>
      <c r="AO35" s="45"/>
      <c r="AP35" s="45"/>
      <c r="AQ35" s="45"/>
      <c r="AR35" s="204"/>
      <c r="AS35" s="204"/>
      <c r="AT35" s="204"/>
      <c r="AU35" s="204"/>
      <c r="AV35" s="204"/>
      <c r="AW35" s="204"/>
      <c r="AX35" s="204"/>
      <c r="AY35" s="204"/>
      <c r="AZ35" s="204"/>
      <c r="BA35" s="204"/>
      <c r="BB35" s="204"/>
      <c r="BC35" s="204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</row>
    <row r="36" spans="1:147" x14ac:dyDescent="0.3">
      <c r="A36" s="41" t="s">
        <v>130</v>
      </c>
      <c r="C36" s="45">
        <f t="shared" ref="C36:T36" si="90">C20+B36</f>
        <v>0</v>
      </c>
      <c r="D36" s="45">
        <f t="shared" si="90"/>
        <v>0</v>
      </c>
      <c r="E36" s="45">
        <f t="shared" si="90"/>
        <v>0</v>
      </c>
      <c r="F36" s="45">
        <f t="shared" si="90"/>
        <v>0</v>
      </c>
      <c r="G36" s="45">
        <f t="shared" si="90"/>
        <v>0</v>
      </c>
      <c r="H36" s="45">
        <f t="shared" si="90"/>
        <v>1785.7142857142858</v>
      </c>
      <c r="I36" s="45">
        <f t="shared" si="90"/>
        <v>3571.4285714285716</v>
      </c>
      <c r="J36" s="45">
        <f t="shared" si="90"/>
        <v>5357.1428571428569</v>
      </c>
      <c r="K36" s="45">
        <f t="shared" si="90"/>
        <v>7142.8571428571431</v>
      </c>
      <c r="L36" s="45">
        <f t="shared" si="90"/>
        <v>8928.5714285714294</v>
      </c>
      <c r="M36" s="45">
        <f t="shared" si="90"/>
        <v>10714.285714285716</v>
      </c>
      <c r="N36" s="45">
        <f t="shared" si="90"/>
        <v>12500.000000000002</v>
      </c>
      <c r="O36" s="45">
        <f t="shared" si="90"/>
        <v>14285.714285714288</v>
      </c>
      <c r="P36" s="45">
        <f t="shared" si="90"/>
        <v>16071.428571428574</v>
      </c>
      <c r="Q36" s="45">
        <f t="shared" si="90"/>
        <v>17857.142857142859</v>
      </c>
      <c r="R36" s="45">
        <f t="shared" si="90"/>
        <v>19642.857142857145</v>
      </c>
      <c r="S36" s="45">
        <f t="shared" si="90"/>
        <v>21428.571428571431</v>
      </c>
      <c r="T36" s="45">
        <f t="shared" si="90"/>
        <v>23214.285714285717</v>
      </c>
      <c r="U36" s="45">
        <f>U20+T36-3869.05</f>
        <v>21130.946190476196</v>
      </c>
      <c r="V36" s="45">
        <f t="shared" ref="V36:W40" si="91">V20+U36</f>
        <v>22534.886666666673</v>
      </c>
      <c r="W36" s="45">
        <f t="shared" si="91"/>
        <v>23938.82714285715</v>
      </c>
      <c r="X36" s="45">
        <f>X20+W36-5595.43-1475.78</f>
        <v>18271.554761904768</v>
      </c>
      <c r="Y36" s="45">
        <f t="shared" ref="Y36:BD36" si="92">Y20+X36</f>
        <v>19346.352380952387</v>
      </c>
      <c r="Z36" s="45">
        <f t="shared" si="92"/>
        <v>20421.150000000005</v>
      </c>
      <c r="AA36" s="45">
        <f t="shared" si="92"/>
        <v>21495.947619047623</v>
      </c>
      <c r="AB36" s="45">
        <f t="shared" si="92"/>
        <v>22570.745238095242</v>
      </c>
      <c r="AC36" s="45">
        <f t="shared" si="92"/>
        <v>23645.54285714286</v>
      </c>
      <c r="AD36" s="45">
        <f t="shared" si="92"/>
        <v>24720.340476190479</v>
      </c>
      <c r="AE36" s="45">
        <f t="shared" si="92"/>
        <v>25795.138095238097</v>
      </c>
      <c r="AF36" s="45">
        <f t="shared" si="92"/>
        <v>26869.935714285715</v>
      </c>
      <c r="AG36" s="45">
        <f t="shared" si="92"/>
        <v>27944.733333333334</v>
      </c>
      <c r="AH36" s="45">
        <f t="shared" si="92"/>
        <v>29019.530952380952</v>
      </c>
      <c r="AI36" s="45">
        <f t="shared" si="92"/>
        <v>30094.32857142857</v>
      </c>
      <c r="AJ36" s="45">
        <f t="shared" si="92"/>
        <v>31169.126190476189</v>
      </c>
      <c r="AK36" s="45">
        <f t="shared" si="92"/>
        <v>32243.923809523807</v>
      </c>
      <c r="AL36" s="45">
        <f t="shared" si="92"/>
        <v>33318.721428571429</v>
      </c>
      <c r="AM36" s="45">
        <f t="shared" si="92"/>
        <v>34393.519047619047</v>
      </c>
      <c r="AN36" s="45">
        <f t="shared" si="92"/>
        <v>35468.316666666666</v>
      </c>
      <c r="AO36" s="45">
        <f t="shared" si="92"/>
        <v>36543.114285714284</v>
      </c>
      <c r="AP36" s="45">
        <f>AP20+AO36-9193.05</f>
        <v>28424.864285714288</v>
      </c>
      <c r="AQ36" s="45">
        <f t="shared" si="92"/>
        <v>29327.684285714287</v>
      </c>
      <c r="AR36" s="204">
        <f t="shared" si="92"/>
        <v>30230.504285714287</v>
      </c>
      <c r="AS36" s="204">
        <f t="shared" si="92"/>
        <v>31133.324285714287</v>
      </c>
      <c r="AT36" s="204">
        <f t="shared" si="92"/>
        <v>32036.144285714287</v>
      </c>
      <c r="AU36" s="204">
        <f t="shared" si="92"/>
        <v>32938.96428571429</v>
      </c>
      <c r="AV36" s="204">
        <f t="shared" si="92"/>
        <v>33841.78428571429</v>
      </c>
      <c r="AW36" s="204">
        <f t="shared" si="92"/>
        <v>34744.604285714289</v>
      </c>
      <c r="AX36" s="204">
        <f t="shared" si="92"/>
        <v>35647.424285714289</v>
      </c>
      <c r="AY36" s="204">
        <f t="shared" si="92"/>
        <v>36550.244285714289</v>
      </c>
      <c r="AZ36" s="204">
        <f t="shared" si="92"/>
        <v>37453.064285714288</v>
      </c>
      <c r="BA36" s="204">
        <f t="shared" si="92"/>
        <v>38355.884285714288</v>
      </c>
      <c r="BB36" s="204">
        <f t="shared" si="92"/>
        <v>39258.704285714288</v>
      </c>
      <c r="BC36" s="204">
        <f t="shared" si="92"/>
        <v>40161.524285714288</v>
      </c>
      <c r="BD36" s="45">
        <f t="shared" si="92"/>
        <v>41064.344285714287</v>
      </c>
      <c r="BE36" s="45">
        <f t="shared" ref="BE36:CJ36" si="93">BE20+BD36</f>
        <v>41967.164285714287</v>
      </c>
      <c r="BF36" s="45">
        <f t="shared" si="93"/>
        <v>42869.984285714287</v>
      </c>
      <c r="BG36" s="45">
        <f t="shared" si="93"/>
        <v>43772.804285714286</v>
      </c>
      <c r="BH36" s="45">
        <f t="shared" si="93"/>
        <v>44675.624285714286</v>
      </c>
      <c r="BI36" s="45">
        <f t="shared" si="93"/>
        <v>45578.444285714286</v>
      </c>
      <c r="BJ36" s="45">
        <f t="shared" si="93"/>
        <v>46481.264285714286</v>
      </c>
      <c r="BK36" s="45">
        <f t="shared" si="93"/>
        <v>47384.084285714285</v>
      </c>
      <c r="BL36" s="45">
        <f t="shared" si="93"/>
        <v>48286.904285714285</v>
      </c>
      <c r="BM36" s="45">
        <f t="shared" si="93"/>
        <v>49189.724285714285</v>
      </c>
      <c r="BN36" s="45">
        <f t="shared" si="93"/>
        <v>50092.544285714284</v>
      </c>
      <c r="BO36" s="45">
        <f t="shared" si="93"/>
        <v>50995.364285714284</v>
      </c>
      <c r="BP36" s="45">
        <f t="shared" si="93"/>
        <v>51898.184285714284</v>
      </c>
      <c r="BQ36" s="45">
        <f t="shared" si="93"/>
        <v>52801.004285714283</v>
      </c>
      <c r="BR36" s="45">
        <f t="shared" si="93"/>
        <v>53703.824285714283</v>
      </c>
      <c r="BS36" s="45">
        <f t="shared" si="93"/>
        <v>54606.644285714283</v>
      </c>
      <c r="BT36" s="45">
        <f t="shared" si="93"/>
        <v>55509.464285714283</v>
      </c>
      <c r="BU36" s="45">
        <f t="shared" si="93"/>
        <v>56412.284285714282</v>
      </c>
      <c r="BV36" s="45">
        <f t="shared" si="93"/>
        <v>57315.104285714282</v>
      </c>
      <c r="BW36" s="45">
        <f t="shared" si="93"/>
        <v>58217.924285714282</v>
      </c>
      <c r="BX36" s="45">
        <f t="shared" si="93"/>
        <v>59120.744285714281</v>
      </c>
      <c r="BY36" s="45">
        <f t="shared" si="93"/>
        <v>60023.564285714281</v>
      </c>
      <c r="BZ36" s="45">
        <f t="shared" si="93"/>
        <v>60926.384285714281</v>
      </c>
      <c r="CA36" s="45">
        <f t="shared" si="93"/>
        <v>61829.204285714281</v>
      </c>
      <c r="CB36" s="45">
        <f t="shared" si="93"/>
        <v>62732.02428571428</v>
      </c>
      <c r="CC36" s="45">
        <f t="shared" si="93"/>
        <v>63634.84428571428</v>
      </c>
      <c r="CD36" s="45">
        <f t="shared" si="93"/>
        <v>64537.66428571428</v>
      </c>
      <c r="CE36" s="45">
        <f t="shared" si="93"/>
        <v>65440.484285714279</v>
      </c>
      <c r="CF36" s="45">
        <f t="shared" si="93"/>
        <v>66343.304285714286</v>
      </c>
      <c r="CG36" s="45">
        <f t="shared" si="93"/>
        <v>67246.124285714293</v>
      </c>
      <c r="CH36" s="45">
        <f t="shared" si="93"/>
        <v>68148.9442857143</v>
      </c>
      <c r="CI36" s="45">
        <f t="shared" si="93"/>
        <v>69051.764285714307</v>
      </c>
      <c r="CJ36" s="45">
        <f t="shared" si="93"/>
        <v>69954.584285714314</v>
      </c>
      <c r="CK36" s="45">
        <f t="shared" ref="CK36:DP36" si="94">CK20+CJ36</f>
        <v>70857.404285714321</v>
      </c>
      <c r="CL36" s="45">
        <f t="shared" si="94"/>
        <v>71760.224285714328</v>
      </c>
      <c r="CM36" s="45">
        <f t="shared" si="94"/>
        <v>72663.044285714335</v>
      </c>
      <c r="CN36" s="45">
        <f t="shared" si="94"/>
        <v>72663.044285714335</v>
      </c>
      <c r="CO36" s="45">
        <f t="shared" si="94"/>
        <v>72663.044285714335</v>
      </c>
      <c r="CP36" s="45">
        <f t="shared" si="94"/>
        <v>72663.044285714335</v>
      </c>
      <c r="CQ36" s="45">
        <f t="shared" si="94"/>
        <v>72663.044285714335</v>
      </c>
      <c r="CR36" s="45">
        <f t="shared" si="94"/>
        <v>72663.044285714335</v>
      </c>
      <c r="CS36" s="45">
        <f t="shared" si="94"/>
        <v>72663.044285714335</v>
      </c>
      <c r="CT36" s="45">
        <f t="shared" si="94"/>
        <v>72663.044285714335</v>
      </c>
      <c r="CU36" s="45">
        <f t="shared" si="94"/>
        <v>72663.044285714335</v>
      </c>
      <c r="CV36" s="45">
        <f t="shared" si="94"/>
        <v>72663.044285714335</v>
      </c>
      <c r="CW36" s="45">
        <f t="shared" si="94"/>
        <v>72663.044285714335</v>
      </c>
      <c r="CX36" s="45">
        <f t="shared" si="94"/>
        <v>72663.044285714335</v>
      </c>
      <c r="CY36" s="45">
        <f t="shared" si="94"/>
        <v>72663.044285714335</v>
      </c>
      <c r="CZ36" s="45">
        <f t="shared" si="94"/>
        <v>72663.044285714335</v>
      </c>
      <c r="DA36" s="45">
        <f t="shared" si="94"/>
        <v>72663.044285714335</v>
      </c>
      <c r="DB36" s="45">
        <f t="shared" si="94"/>
        <v>72663.044285714335</v>
      </c>
      <c r="DC36" s="45">
        <f t="shared" si="94"/>
        <v>72663.044285714335</v>
      </c>
      <c r="DD36" s="45">
        <f t="shared" si="94"/>
        <v>72663.044285714335</v>
      </c>
      <c r="DE36" s="45">
        <f t="shared" si="94"/>
        <v>72663.044285714335</v>
      </c>
      <c r="DF36" s="45">
        <f t="shared" si="94"/>
        <v>72663.044285714335</v>
      </c>
      <c r="DG36" s="45">
        <f t="shared" si="94"/>
        <v>72663.044285714335</v>
      </c>
      <c r="DH36" s="45">
        <f t="shared" si="94"/>
        <v>72663.044285714335</v>
      </c>
      <c r="DI36" s="45">
        <f t="shared" si="94"/>
        <v>72663.044285714335</v>
      </c>
      <c r="DJ36" s="45">
        <f t="shared" si="94"/>
        <v>72663.044285714335</v>
      </c>
      <c r="DK36" s="45">
        <f t="shared" si="94"/>
        <v>72663.044285714335</v>
      </c>
      <c r="DL36" s="45">
        <f t="shared" si="94"/>
        <v>72663.044285714335</v>
      </c>
      <c r="DM36" s="45">
        <f t="shared" si="94"/>
        <v>72663.044285714335</v>
      </c>
      <c r="DN36" s="45">
        <f t="shared" si="94"/>
        <v>72663.044285714335</v>
      </c>
      <c r="DO36" s="45">
        <f t="shared" si="94"/>
        <v>72663.044285714335</v>
      </c>
      <c r="DP36" s="45">
        <f t="shared" si="94"/>
        <v>72663.044285714335</v>
      </c>
      <c r="DQ36" s="45">
        <f t="shared" ref="DQ36:EQ36" si="95">DQ20+DP36</f>
        <v>72663.044285714335</v>
      </c>
      <c r="DR36" s="45">
        <f t="shared" si="95"/>
        <v>72663.044285714335</v>
      </c>
      <c r="DS36" s="45">
        <f t="shared" si="95"/>
        <v>72663.044285714335</v>
      </c>
      <c r="DT36" s="45">
        <f t="shared" si="95"/>
        <v>72663.044285714335</v>
      </c>
      <c r="DU36" s="45">
        <f t="shared" si="95"/>
        <v>72663.044285714335</v>
      </c>
      <c r="DV36" s="45">
        <f t="shared" si="95"/>
        <v>72663.044285714335</v>
      </c>
      <c r="DW36" s="45">
        <f t="shared" si="95"/>
        <v>72663.044285714335</v>
      </c>
      <c r="DX36" s="45">
        <f t="shared" si="95"/>
        <v>72663.044285714335</v>
      </c>
      <c r="DY36" s="45">
        <f t="shared" si="95"/>
        <v>72663.044285714335</v>
      </c>
      <c r="DZ36" s="45">
        <f t="shared" si="95"/>
        <v>72663.044285714335</v>
      </c>
      <c r="EA36" s="45">
        <f t="shared" si="95"/>
        <v>72663.044285714335</v>
      </c>
      <c r="EB36" s="45">
        <f t="shared" si="95"/>
        <v>72663.044285714335</v>
      </c>
      <c r="EC36" s="45">
        <f t="shared" si="95"/>
        <v>72663.044285714335</v>
      </c>
      <c r="ED36" s="45">
        <f t="shared" si="95"/>
        <v>72663.044285714335</v>
      </c>
      <c r="EE36" s="45">
        <f t="shared" si="95"/>
        <v>72663.044285714335</v>
      </c>
      <c r="EF36" s="45">
        <f t="shared" si="95"/>
        <v>72663.044285714335</v>
      </c>
      <c r="EG36" s="45">
        <f t="shared" si="95"/>
        <v>72663.044285714335</v>
      </c>
      <c r="EH36" s="45">
        <f t="shared" si="95"/>
        <v>72663.044285714335</v>
      </c>
      <c r="EI36" s="45">
        <f t="shared" si="95"/>
        <v>72663.044285714335</v>
      </c>
      <c r="EJ36" s="45">
        <f t="shared" si="95"/>
        <v>72663.044285714335</v>
      </c>
      <c r="EK36" s="45">
        <f t="shared" si="95"/>
        <v>72663.044285714335</v>
      </c>
      <c r="EL36" s="45">
        <f t="shared" si="95"/>
        <v>72663.044285714335</v>
      </c>
      <c r="EM36" s="45">
        <f t="shared" si="95"/>
        <v>72663.044285714335</v>
      </c>
      <c r="EN36" s="45">
        <f t="shared" si="95"/>
        <v>72663.044285714335</v>
      </c>
      <c r="EO36" s="45">
        <f t="shared" si="95"/>
        <v>72663.044285714335</v>
      </c>
      <c r="EP36" s="45">
        <f t="shared" si="95"/>
        <v>72663.044285714335</v>
      </c>
      <c r="EQ36" s="45">
        <f t="shared" si="95"/>
        <v>72663.044285714335</v>
      </c>
    </row>
    <row r="37" spans="1:147" x14ac:dyDescent="0.3">
      <c r="A37" s="41" t="s">
        <v>127</v>
      </c>
      <c r="C37" s="45">
        <f t="shared" ref="C37:T37" si="96">C21+B37</f>
        <v>0</v>
      </c>
      <c r="D37" s="45">
        <f t="shared" si="96"/>
        <v>0</v>
      </c>
      <c r="E37" s="45">
        <f t="shared" si="96"/>
        <v>0</v>
      </c>
      <c r="F37" s="45">
        <f t="shared" si="96"/>
        <v>0</v>
      </c>
      <c r="G37" s="45">
        <f t="shared" si="96"/>
        <v>0</v>
      </c>
      <c r="H37" s="45">
        <f t="shared" si="96"/>
        <v>0</v>
      </c>
      <c r="I37" s="45">
        <f t="shared" si="96"/>
        <v>3142.7711904761909</v>
      </c>
      <c r="J37" s="45">
        <f t="shared" si="96"/>
        <v>6285.5423809523818</v>
      </c>
      <c r="K37" s="45">
        <f t="shared" si="96"/>
        <v>9428.3135714285727</v>
      </c>
      <c r="L37" s="45">
        <f t="shared" si="96"/>
        <v>12571.084761904764</v>
      </c>
      <c r="M37" s="45">
        <f t="shared" si="96"/>
        <v>15713.855952380954</v>
      </c>
      <c r="N37" s="45">
        <f t="shared" si="96"/>
        <v>18856.627142857145</v>
      </c>
      <c r="O37" s="45">
        <f t="shared" si="96"/>
        <v>21999.398333333338</v>
      </c>
      <c r="P37" s="45">
        <f t="shared" si="96"/>
        <v>25142.169523809527</v>
      </c>
      <c r="Q37" s="45">
        <f t="shared" si="96"/>
        <v>28284.940714285716</v>
      </c>
      <c r="R37" s="45">
        <f t="shared" si="96"/>
        <v>31427.711904761905</v>
      </c>
      <c r="S37" s="45">
        <f t="shared" si="96"/>
        <v>34570.483095238094</v>
      </c>
      <c r="T37" s="45">
        <f t="shared" si="96"/>
        <v>37713.254285714283</v>
      </c>
      <c r="U37" s="45">
        <f>U21+T37</f>
        <v>40856.025476190473</v>
      </c>
      <c r="V37" s="45">
        <f t="shared" si="91"/>
        <v>43998.796666666662</v>
      </c>
      <c r="W37" s="45">
        <f t="shared" si="91"/>
        <v>47141.567857142851</v>
      </c>
      <c r="X37" s="45">
        <f>X21+W37</f>
        <v>50284.33904761904</v>
      </c>
      <c r="Y37" s="45">
        <f t="shared" ref="Y37:BD37" si="97">Y21+X37</f>
        <v>53427.110238095229</v>
      </c>
      <c r="Z37" s="45">
        <f t="shared" si="97"/>
        <v>56569.881428571418</v>
      </c>
      <c r="AA37" s="45">
        <f t="shared" si="97"/>
        <v>59712.652619047607</v>
      </c>
      <c r="AB37" s="45">
        <f t="shared" si="97"/>
        <v>62855.423809523796</v>
      </c>
      <c r="AC37" s="45">
        <f t="shared" si="97"/>
        <v>65998.194999999992</v>
      </c>
      <c r="AD37" s="45">
        <f t="shared" si="97"/>
        <v>69140.966190476189</v>
      </c>
      <c r="AE37" s="45">
        <f t="shared" si="97"/>
        <v>72283.737380952385</v>
      </c>
      <c r="AF37" s="45">
        <f t="shared" si="97"/>
        <v>75426.508571428581</v>
      </c>
      <c r="AG37" s="45">
        <f t="shared" si="97"/>
        <v>78569.279761904778</v>
      </c>
      <c r="AH37" s="45">
        <f t="shared" si="97"/>
        <v>81712.050952380974</v>
      </c>
      <c r="AI37" s="45">
        <f t="shared" si="97"/>
        <v>84854.822142857171</v>
      </c>
      <c r="AJ37" s="45">
        <f t="shared" si="97"/>
        <v>87997.593333333367</v>
      </c>
      <c r="AK37" s="45">
        <f t="shared" si="97"/>
        <v>91140.364523809563</v>
      </c>
      <c r="AL37" s="45">
        <f t="shared" si="97"/>
        <v>94283.13571428576</v>
      </c>
      <c r="AM37" s="45">
        <f t="shared" si="97"/>
        <v>97425.906904761956</v>
      </c>
      <c r="AN37" s="45">
        <f t="shared" si="97"/>
        <v>100568.67809523815</v>
      </c>
      <c r="AO37" s="45">
        <f t="shared" si="97"/>
        <v>103711.44928571435</v>
      </c>
      <c r="AP37" s="45">
        <f t="shared" si="97"/>
        <v>106854.22047619055</v>
      </c>
      <c r="AQ37" s="45">
        <f t="shared" si="97"/>
        <v>109996.99166666674</v>
      </c>
      <c r="AR37" s="204">
        <f t="shared" si="97"/>
        <v>113139.76285714294</v>
      </c>
      <c r="AS37" s="204">
        <f t="shared" si="97"/>
        <v>116282.53404761913</v>
      </c>
      <c r="AT37" s="204">
        <f t="shared" si="97"/>
        <v>119425.30523809533</v>
      </c>
      <c r="AU37" s="204">
        <f t="shared" si="97"/>
        <v>122568.07642857153</v>
      </c>
      <c r="AV37" s="204">
        <f t="shared" si="97"/>
        <v>125710.84761904772</v>
      </c>
      <c r="AW37" s="204">
        <f t="shared" si="97"/>
        <v>128853.61880952392</v>
      </c>
      <c r="AX37" s="204">
        <f t="shared" si="97"/>
        <v>131996.3900000001</v>
      </c>
      <c r="AY37" s="204">
        <f t="shared" si="97"/>
        <v>135139.1611904763</v>
      </c>
      <c r="AZ37" s="204">
        <f t="shared" si="97"/>
        <v>138281.93238095249</v>
      </c>
      <c r="BA37" s="204">
        <f t="shared" si="97"/>
        <v>141424.70357142869</v>
      </c>
      <c r="BB37" s="204">
        <f t="shared" si="97"/>
        <v>144567.47476190489</v>
      </c>
      <c r="BC37" s="204">
        <f t="shared" si="97"/>
        <v>147710.24595238108</v>
      </c>
      <c r="BD37" s="45">
        <f t="shared" si="97"/>
        <v>150853.01714285728</v>
      </c>
      <c r="BE37" s="45">
        <f t="shared" ref="BE37:CJ37" si="98">BE21+BD37</f>
        <v>153995.78833333348</v>
      </c>
      <c r="BF37" s="45">
        <f t="shared" si="98"/>
        <v>157138.55952380967</v>
      </c>
      <c r="BG37" s="45">
        <f t="shared" si="98"/>
        <v>160281.33071428587</v>
      </c>
      <c r="BH37" s="45">
        <f t="shared" si="98"/>
        <v>163424.10190476206</v>
      </c>
      <c r="BI37" s="45">
        <f t="shared" si="98"/>
        <v>166566.87309523826</v>
      </c>
      <c r="BJ37" s="45">
        <f t="shared" si="98"/>
        <v>169709.64428571446</v>
      </c>
      <c r="BK37" s="45">
        <f t="shared" si="98"/>
        <v>172852.41547619065</v>
      </c>
      <c r="BL37" s="45">
        <f t="shared" si="98"/>
        <v>175995.18666666685</v>
      </c>
      <c r="BM37" s="45">
        <f t="shared" si="98"/>
        <v>179137.95785714305</v>
      </c>
      <c r="BN37" s="45">
        <f t="shared" si="98"/>
        <v>182280.72904761924</v>
      </c>
      <c r="BO37" s="45">
        <f t="shared" si="98"/>
        <v>185423.50023809544</v>
      </c>
      <c r="BP37" s="45">
        <f t="shared" si="98"/>
        <v>188566.27142857164</v>
      </c>
      <c r="BQ37" s="45">
        <f t="shared" si="98"/>
        <v>191709.04261904783</v>
      </c>
      <c r="BR37" s="45">
        <f t="shared" si="98"/>
        <v>194851.81380952403</v>
      </c>
      <c r="BS37" s="45">
        <f t="shared" si="98"/>
        <v>197994.58500000022</v>
      </c>
      <c r="BT37" s="45">
        <f t="shared" si="98"/>
        <v>201137.35619047642</v>
      </c>
      <c r="BU37" s="45">
        <f t="shared" si="98"/>
        <v>204280.12738095262</v>
      </c>
      <c r="BV37" s="45">
        <f t="shared" si="98"/>
        <v>207422.89857142881</v>
      </c>
      <c r="BW37" s="45">
        <f t="shared" si="98"/>
        <v>210565.66976190501</v>
      </c>
      <c r="BX37" s="45">
        <f t="shared" si="98"/>
        <v>213708.44095238121</v>
      </c>
      <c r="BY37" s="45">
        <f t="shared" si="98"/>
        <v>216851.2121428574</v>
      </c>
      <c r="BZ37" s="45">
        <f t="shared" si="98"/>
        <v>219993.9833333336</v>
      </c>
      <c r="CA37" s="45">
        <f t="shared" si="98"/>
        <v>223136.7545238098</v>
      </c>
      <c r="CB37" s="45">
        <f t="shared" si="98"/>
        <v>226279.52571428599</v>
      </c>
      <c r="CC37" s="45">
        <f t="shared" si="98"/>
        <v>229422.29690476219</v>
      </c>
      <c r="CD37" s="45">
        <f t="shared" si="98"/>
        <v>232565.06809523838</v>
      </c>
      <c r="CE37" s="45">
        <f t="shared" si="98"/>
        <v>235707.83928571458</v>
      </c>
      <c r="CF37" s="45">
        <f t="shared" si="98"/>
        <v>238850.61047619078</v>
      </c>
      <c r="CG37" s="45">
        <f t="shared" si="98"/>
        <v>241993.38166666697</v>
      </c>
      <c r="CH37" s="45">
        <f t="shared" si="98"/>
        <v>245136.15285714317</v>
      </c>
      <c r="CI37" s="45">
        <f t="shared" si="98"/>
        <v>248278.92404761937</v>
      </c>
      <c r="CJ37" s="45">
        <f t="shared" si="98"/>
        <v>251421.69523809556</v>
      </c>
      <c r="CK37" s="45">
        <f t="shared" ref="CK37:DP37" si="99">CK21+CJ37</f>
        <v>254564.46642857176</v>
      </c>
      <c r="CL37" s="45">
        <f t="shared" si="99"/>
        <v>257707.23761904796</v>
      </c>
      <c r="CM37" s="45">
        <f t="shared" si="99"/>
        <v>260850.00880952415</v>
      </c>
      <c r="CN37" s="45">
        <f t="shared" si="99"/>
        <v>263992.78000000032</v>
      </c>
      <c r="CO37" s="45">
        <f t="shared" si="99"/>
        <v>263992.78000000032</v>
      </c>
      <c r="CP37" s="45">
        <f t="shared" si="99"/>
        <v>263992.78000000032</v>
      </c>
      <c r="CQ37" s="45">
        <f t="shared" si="99"/>
        <v>263992.78000000032</v>
      </c>
      <c r="CR37" s="45">
        <f t="shared" si="99"/>
        <v>263992.78000000032</v>
      </c>
      <c r="CS37" s="45">
        <f t="shared" si="99"/>
        <v>263992.78000000032</v>
      </c>
      <c r="CT37" s="45">
        <f t="shared" si="99"/>
        <v>263992.78000000032</v>
      </c>
      <c r="CU37" s="45">
        <f t="shared" si="99"/>
        <v>263992.78000000032</v>
      </c>
      <c r="CV37" s="45">
        <f t="shared" si="99"/>
        <v>263992.78000000032</v>
      </c>
      <c r="CW37" s="45">
        <f t="shared" si="99"/>
        <v>263992.78000000032</v>
      </c>
      <c r="CX37" s="45">
        <f t="shared" si="99"/>
        <v>263992.78000000032</v>
      </c>
      <c r="CY37" s="45">
        <f t="shared" si="99"/>
        <v>263992.78000000032</v>
      </c>
      <c r="CZ37" s="45">
        <f t="shared" si="99"/>
        <v>263992.78000000032</v>
      </c>
      <c r="DA37" s="45">
        <f t="shared" si="99"/>
        <v>263992.78000000032</v>
      </c>
      <c r="DB37" s="45">
        <f t="shared" si="99"/>
        <v>263992.78000000032</v>
      </c>
      <c r="DC37" s="45">
        <f t="shared" si="99"/>
        <v>263992.78000000032</v>
      </c>
      <c r="DD37" s="45">
        <f t="shared" si="99"/>
        <v>263992.78000000032</v>
      </c>
      <c r="DE37" s="45">
        <f t="shared" si="99"/>
        <v>263992.78000000032</v>
      </c>
      <c r="DF37" s="45">
        <f t="shared" si="99"/>
        <v>263992.78000000032</v>
      </c>
      <c r="DG37" s="45">
        <f t="shared" si="99"/>
        <v>263992.78000000032</v>
      </c>
      <c r="DH37" s="45">
        <f t="shared" si="99"/>
        <v>263992.78000000032</v>
      </c>
      <c r="DI37" s="45">
        <f t="shared" si="99"/>
        <v>263992.78000000032</v>
      </c>
      <c r="DJ37" s="45">
        <f t="shared" si="99"/>
        <v>263992.78000000032</v>
      </c>
      <c r="DK37" s="45">
        <f t="shared" si="99"/>
        <v>263992.78000000032</v>
      </c>
      <c r="DL37" s="45">
        <f t="shared" si="99"/>
        <v>263992.78000000032</v>
      </c>
      <c r="DM37" s="45">
        <f t="shared" si="99"/>
        <v>263992.78000000032</v>
      </c>
      <c r="DN37" s="45">
        <f t="shared" si="99"/>
        <v>263992.78000000032</v>
      </c>
      <c r="DO37" s="45">
        <f t="shared" si="99"/>
        <v>263992.78000000032</v>
      </c>
      <c r="DP37" s="45">
        <f t="shared" si="99"/>
        <v>263992.78000000032</v>
      </c>
      <c r="DQ37" s="45">
        <f t="shared" ref="DQ37:EQ37" si="100">DQ21+DP37</f>
        <v>263992.78000000032</v>
      </c>
      <c r="DR37" s="45">
        <f t="shared" si="100"/>
        <v>263992.78000000032</v>
      </c>
      <c r="DS37" s="45">
        <f t="shared" si="100"/>
        <v>263992.78000000032</v>
      </c>
      <c r="DT37" s="45">
        <f t="shared" si="100"/>
        <v>263992.78000000032</v>
      </c>
      <c r="DU37" s="45">
        <f t="shared" si="100"/>
        <v>263992.78000000032</v>
      </c>
      <c r="DV37" s="45">
        <f t="shared" si="100"/>
        <v>263992.78000000032</v>
      </c>
      <c r="DW37" s="45">
        <f t="shared" si="100"/>
        <v>263992.78000000032</v>
      </c>
      <c r="DX37" s="45">
        <f t="shared" si="100"/>
        <v>263992.78000000032</v>
      </c>
      <c r="DY37" s="45">
        <f t="shared" si="100"/>
        <v>263992.78000000032</v>
      </c>
      <c r="DZ37" s="45">
        <f t="shared" si="100"/>
        <v>263992.78000000032</v>
      </c>
      <c r="EA37" s="45">
        <f t="shared" si="100"/>
        <v>263992.78000000032</v>
      </c>
      <c r="EB37" s="45">
        <f t="shared" si="100"/>
        <v>263992.78000000032</v>
      </c>
      <c r="EC37" s="45">
        <f t="shared" si="100"/>
        <v>263992.78000000032</v>
      </c>
      <c r="ED37" s="45">
        <f t="shared" si="100"/>
        <v>263992.78000000032</v>
      </c>
      <c r="EE37" s="45">
        <f t="shared" si="100"/>
        <v>263992.78000000032</v>
      </c>
      <c r="EF37" s="45">
        <f t="shared" si="100"/>
        <v>263992.78000000032</v>
      </c>
      <c r="EG37" s="45">
        <f t="shared" si="100"/>
        <v>263992.78000000032</v>
      </c>
      <c r="EH37" s="45">
        <f t="shared" si="100"/>
        <v>263992.78000000032</v>
      </c>
      <c r="EI37" s="45">
        <f t="shared" si="100"/>
        <v>263992.78000000032</v>
      </c>
      <c r="EJ37" s="45">
        <f t="shared" si="100"/>
        <v>263992.78000000032</v>
      </c>
      <c r="EK37" s="45">
        <f t="shared" si="100"/>
        <v>263992.78000000032</v>
      </c>
      <c r="EL37" s="45">
        <f t="shared" si="100"/>
        <v>263992.78000000032</v>
      </c>
      <c r="EM37" s="45">
        <f t="shared" si="100"/>
        <v>263992.78000000032</v>
      </c>
      <c r="EN37" s="45">
        <f t="shared" si="100"/>
        <v>263992.78000000032</v>
      </c>
      <c r="EO37" s="45">
        <f t="shared" si="100"/>
        <v>263992.78000000032</v>
      </c>
      <c r="EP37" s="45">
        <f t="shared" si="100"/>
        <v>263992.78000000032</v>
      </c>
      <c r="EQ37" s="45">
        <f t="shared" si="100"/>
        <v>263992.78000000032</v>
      </c>
    </row>
    <row r="38" spans="1:147" x14ac:dyDescent="0.3">
      <c r="A38" s="41" t="s">
        <v>126</v>
      </c>
      <c r="C38" s="45">
        <f t="shared" ref="C38:T38" si="101">C22+B38</f>
        <v>0</v>
      </c>
      <c r="D38" s="45">
        <f t="shared" si="101"/>
        <v>0</v>
      </c>
      <c r="E38" s="45">
        <f t="shared" si="101"/>
        <v>0</v>
      </c>
      <c r="F38" s="45">
        <f t="shared" si="101"/>
        <v>0</v>
      </c>
      <c r="G38" s="45">
        <f t="shared" si="101"/>
        <v>0</v>
      </c>
      <c r="H38" s="45">
        <f t="shared" si="101"/>
        <v>0</v>
      </c>
      <c r="I38" s="45">
        <f t="shared" si="101"/>
        <v>0</v>
      </c>
      <c r="J38" s="45">
        <f t="shared" si="101"/>
        <v>3213.0952380952381</v>
      </c>
      <c r="K38" s="45">
        <f t="shared" si="101"/>
        <v>6426.1904761904761</v>
      </c>
      <c r="L38" s="45">
        <f t="shared" si="101"/>
        <v>9639.2857142857138</v>
      </c>
      <c r="M38" s="45">
        <f t="shared" si="101"/>
        <v>12852.380952380952</v>
      </c>
      <c r="N38" s="45">
        <f t="shared" si="101"/>
        <v>16065.476190476191</v>
      </c>
      <c r="O38" s="45">
        <f t="shared" si="101"/>
        <v>19278.571428571428</v>
      </c>
      <c r="P38" s="45">
        <f t="shared" si="101"/>
        <v>22491.666666666664</v>
      </c>
      <c r="Q38" s="45">
        <f t="shared" si="101"/>
        <v>25704.761904761901</v>
      </c>
      <c r="R38" s="45">
        <f t="shared" si="101"/>
        <v>28917.857142857138</v>
      </c>
      <c r="S38" s="45">
        <f t="shared" si="101"/>
        <v>32130.952380952374</v>
      </c>
      <c r="T38" s="45">
        <f t="shared" si="101"/>
        <v>35344.047619047611</v>
      </c>
      <c r="U38" s="45">
        <f>U22+T38</f>
        <v>38557.142857142848</v>
      </c>
      <c r="V38" s="45">
        <f t="shared" si="91"/>
        <v>41770.238095238084</v>
      </c>
      <c r="W38" s="45">
        <f t="shared" si="91"/>
        <v>44983.333333333321</v>
      </c>
      <c r="X38" s="45">
        <f>X22+W38</f>
        <v>48196.428571428558</v>
      </c>
      <c r="Y38" s="45">
        <f t="shared" ref="Y38:BD38" si="102">Y22+X38</f>
        <v>51409.523809523795</v>
      </c>
      <c r="Z38" s="45">
        <f t="shared" si="102"/>
        <v>54622.619047619031</v>
      </c>
      <c r="AA38" s="45">
        <f t="shared" si="102"/>
        <v>57835.714285714268</v>
      </c>
      <c r="AB38" s="45">
        <f t="shared" si="102"/>
        <v>61048.809523809505</v>
      </c>
      <c r="AC38" s="45">
        <f t="shared" si="102"/>
        <v>64261.904761904741</v>
      </c>
      <c r="AD38" s="45">
        <f t="shared" si="102"/>
        <v>67474.999999999985</v>
      </c>
      <c r="AE38" s="45">
        <f t="shared" si="102"/>
        <v>70688.095238095222</v>
      </c>
      <c r="AF38" s="45">
        <f t="shared" si="102"/>
        <v>73901.190476190459</v>
      </c>
      <c r="AG38" s="45">
        <f t="shared" si="102"/>
        <v>77114.285714285696</v>
      </c>
      <c r="AH38" s="45">
        <f t="shared" si="102"/>
        <v>80327.380952380932</v>
      </c>
      <c r="AI38" s="45">
        <f t="shared" si="102"/>
        <v>83540.476190476169</v>
      </c>
      <c r="AJ38" s="45">
        <f t="shared" si="102"/>
        <v>86753.571428571406</v>
      </c>
      <c r="AK38" s="45">
        <f t="shared" si="102"/>
        <v>89966.666666666642</v>
      </c>
      <c r="AL38" s="45">
        <f t="shared" si="102"/>
        <v>93179.761904761879</v>
      </c>
      <c r="AM38" s="45">
        <f t="shared" si="102"/>
        <v>96392.857142857116</v>
      </c>
      <c r="AN38" s="45">
        <f t="shared" si="102"/>
        <v>99605.952380952353</v>
      </c>
      <c r="AO38" s="45">
        <f t="shared" si="102"/>
        <v>102819.04761904759</v>
      </c>
      <c r="AP38" s="45">
        <f t="shared" si="102"/>
        <v>106032.14285714283</v>
      </c>
      <c r="AQ38" s="45">
        <f t="shared" si="102"/>
        <v>109245.23809523806</v>
      </c>
      <c r="AR38" s="204">
        <f t="shared" si="102"/>
        <v>112458.3333333333</v>
      </c>
      <c r="AS38" s="204">
        <f t="shared" si="102"/>
        <v>115671.42857142854</v>
      </c>
      <c r="AT38" s="204">
        <f t="shared" si="102"/>
        <v>118884.52380952377</v>
      </c>
      <c r="AU38" s="204">
        <f t="shared" si="102"/>
        <v>122097.61904761901</v>
      </c>
      <c r="AV38" s="204">
        <f t="shared" si="102"/>
        <v>125310.71428571425</v>
      </c>
      <c r="AW38" s="204">
        <f t="shared" si="102"/>
        <v>128523.80952380948</v>
      </c>
      <c r="AX38" s="204">
        <f t="shared" si="102"/>
        <v>131736.90476190473</v>
      </c>
      <c r="AY38" s="204">
        <f t="shared" si="102"/>
        <v>134949.99999999997</v>
      </c>
      <c r="AZ38" s="204">
        <f t="shared" si="102"/>
        <v>138163.09523809521</v>
      </c>
      <c r="BA38" s="204">
        <f t="shared" si="102"/>
        <v>141376.19047619044</v>
      </c>
      <c r="BB38" s="204">
        <f t="shared" si="102"/>
        <v>144589.28571428568</v>
      </c>
      <c r="BC38" s="204">
        <f t="shared" si="102"/>
        <v>147802.38095238092</v>
      </c>
      <c r="BD38" s="45">
        <f t="shared" si="102"/>
        <v>151015.47619047615</v>
      </c>
      <c r="BE38" s="45">
        <f t="shared" ref="BE38:CJ38" si="103">BE22+BD38</f>
        <v>154228.57142857139</v>
      </c>
      <c r="BF38" s="45">
        <f t="shared" si="103"/>
        <v>157441.66666666663</v>
      </c>
      <c r="BG38" s="45">
        <f t="shared" si="103"/>
        <v>160654.76190476186</v>
      </c>
      <c r="BH38" s="45">
        <f t="shared" si="103"/>
        <v>163867.8571428571</v>
      </c>
      <c r="BI38" s="45">
        <f t="shared" si="103"/>
        <v>167080.95238095234</v>
      </c>
      <c r="BJ38" s="45">
        <f t="shared" si="103"/>
        <v>170294.04761904757</v>
      </c>
      <c r="BK38" s="45">
        <f t="shared" si="103"/>
        <v>173507.14285714281</v>
      </c>
      <c r="BL38" s="45">
        <f t="shared" si="103"/>
        <v>176720.23809523805</v>
      </c>
      <c r="BM38" s="45">
        <f t="shared" si="103"/>
        <v>179933.33333333328</v>
      </c>
      <c r="BN38" s="45">
        <f t="shared" si="103"/>
        <v>183146.42857142852</v>
      </c>
      <c r="BO38" s="45">
        <f t="shared" si="103"/>
        <v>186359.52380952376</v>
      </c>
      <c r="BP38" s="45">
        <f t="shared" si="103"/>
        <v>189572.61904761899</v>
      </c>
      <c r="BQ38" s="45">
        <f t="shared" si="103"/>
        <v>192785.71428571423</v>
      </c>
      <c r="BR38" s="45">
        <f t="shared" si="103"/>
        <v>195998.80952380947</v>
      </c>
      <c r="BS38" s="45">
        <f t="shared" si="103"/>
        <v>199211.90476190471</v>
      </c>
      <c r="BT38" s="45">
        <f t="shared" si="103"/>
        <v>202424.99999999994</v>
      </c>
      <c r="BU38" s="45">
        <f t="shared" si="103"/>
        <v>205638.09523809518</v>
      </c>
      <c r="BV38" s="45">
        <f t="shared" si="103"/>
        <v>208851.19047619042</v>
      </c>
      <c r="BW38" s="45">
        <f t="shared" si="103"/>
        <v>212064.28571428565</v>
      </c>
      <c r="BX38" s="45">
        <f t="shared" si="103"/>
        <v>215277.38095238089</v>
      </c>
      <c r="BY38" s="45">
        <f t="shared" si="103"/>
        <v>218490.47619047613</v>
      </c>
      <c r="BZ38" s="45">
        <f t="shared" si="103"/>
        <v>221703.57142857136</v>
      </c>
      <c r="CA38" s="45">
        <f t="shared" si="103"/>
        <v>224916.6666666666</v>
      </c>
      <c r="CB38" s="45">
        <f t="shared" si="103"/>
        <v>228129.76190476184</v>
      </c>
      <c r="CC38" s="45">
        <f t="shared" si="103"/>
        <v>231342.85714285707</v>
      </c>
      <c r="CD38" s="45">
        <f t="shared" si="103"/>
        <v>234555.95238095231</v>
      </c>
      <c r="CE38" s="45">
        <f t="shared" si="103"/>
        <v>237769.04761904755</v>
      </c>
      <c r="CF38" s="45">
        <f t="shared" si="103"/>
        <v>240982.14285714278</v>
      </c>
      <c r="CG38" s="45">
        <f t="shared" si="103"/>
        <v>244195.23809523802</v>
      </c>
      <c r="CH38" s="45">
        <f t="shared" si="103"/>
        <v>247408.33333333326</v>
      </c>
      <c r="CI38" s="45">
        <f t="shared" si="103"/>
        <v>250621.42857142849</v>
      </c>
      <c r="CJ38" s="45">
        <f t="shared" si="103"/>
        <v>253834.52380952373</v>
      </c>
      <c r="CK38" s="45">
        <f t="shared" ref="CK38:DP38" si="104">CK22+CJ38</f>
        <v>257047.61904761897</v>
      </c>
      <c r="CL38" s="45">
        <f t="shared" si="104"/>
        <v>260260.7142857142</v>
      </c>
      <c r="CM38" s="45">
        <f t="shared" si="104"/>
        <v>263473.80952380947</v>
      </c>
      <c r="CN38" s="45">
        <f t="shared" si="104"/>
        <v>266686.90476190473</v>
      </c>
      <c r="CO38" s="45">
        <f t="shared" si="104"/>
        <v>269900</v>
      </c>
      <c r="CP38" s="45">
        <f t="shared" si="104"/>
        <v>269900</v>
      </c>
      <c r="CQ38" s="45">
        <f t="shared" si="104"/>
        <v>269900</v>
      </c>
      <c r="CR38" s="45">
        <f t="shared" si="104"/>
        <v>269900</v>
      </c>
      <c r="CS38" s="45">
        <f t="shared" si="104"/>
        <v>269900</v>
      </c>
      <c r="CT38" s="45">
        <f t="shared" si="104"/>
        <v>269900</v>
      </c>
      <c r="CU38" s="45">
        <f t="shared" si="104"/>
        <v>269900</v>
      </c>
      <c r="CV38" s="45">
        <f t="shared" si="104"/>
        <v>269900</v>
      </c>
      <c r="CW38" s="45">
        <f t="shared" si="104"/>
        <v>269900</v>
      </c>
      <c r="CX38" s="45">
        <f t="shared" si="104"/>
        <v>269900</v>
      </c>
      <c r="CY38" s="45">
        <f t="shared" si="104"/>
        <v>269900</v>
      </c>
      <c r="CZ38" s="45">
        <f t="shared" si="104"/>
        <v>269900</v>
      </c>
      <c r="DA38" s="45">
        <f t="shared" si="104"/>
        <v>269900</v>
      </c>
      <c r="DB38" s="45">
        <f t="shared" si="104"/>
        <v>269900</v>
      </c>
      <c r="DC38" s="45">
        <f t="shared" si="104"/>
        <v>269900</v>
      </c>
      <c r="DD38" s="45">
        <f t="shared" si="104"/>
        <v>269900</v>
      </c>
      <c r="DE38" s="45">
        <f t="shared" si="104"/>
        <v>269900</v>
      </c>
      <c r="DF38" s="45">
        <f t="shared" si="104"/>
        <v>269900</v>
      </c>
      <c r="DG38" s="45">
        <f t="shared" si="104"/>
        <v>269900</v>
      </c>
      <c r="DH38" s="45">
        <f t="shared" si="104"/>
        <v>269900</v>
      </c>
      <c r="DI38" s="45">
        <f t="shared" si="104"/>
        <v>269900</v>
      </c>
      <c r="DJ38" s="45">
        <f t="shared" si="104"/>
        <v>269900</v>
      </c>
      <c r="DK38" s="45">
        <f t="shared" si="104"/>
        <v>269900</v>
      </c>
      <c r="DL38" s="45">
        <f t="shared" si="104"/>
        <v>269900</v>
      </c>
      <c r="DM38" s="45">
        <f t="shared" si="104"/>
        <v>269900</v>
      </c>
      <c r="DN38" s="45">
        <f t="shared" si="104"/>
        <v>269900</v>
      </c>
      <c r="DO38" s="45">
        <f t="shared" si="104"/>
        <v>269900</v>
      </c>
      <c r="DP38" s="45">
        <f t="shared" si="104"/>
        <v>269900</v>
      </c>
      <c r="DQ38" s="45">
        <f t="shared" ref="DQ38:EQ38" si="105">DQ22+DP38</f>
        <v>269900</v>
      </c>
      <c r="DR38" s="45">
        <f t="shared" si="105"/>
        <v>269900</v>
      </c>
      <c r="DS38" s="45">
        <f t="shared" si="105"/>
        <v>269900</v>
      </c>
      <c r="DT38" s="45">
        <f t="shared" si="105"/>
        <v>269900</v>
      </c>
      <c r="DU38" s="45">
        <f t="shared" si="105"/>
        <v>269900</v>
      </c>
      <c r="DV38" s="45">
        <f t="shared" si="105"/>
        <v>269900</v>
      </c>
      <c r="DW38" s="45">
        <f t="shared" si="105"/>
        <v>269900</v>
      </c>
      <c r="DX38" s="45">
        <f t="shared" si="105"/>
        <v>269900</v>
      </c>
      <c r="DY38" s="45">
        <f t="shared" si="105"/>
        <v>269900</v>
      </c>
      <c r="DZ38" s="45">
        <f t="shared" si="105"/>
        <v>269900</v>
      </c>
      <c r="EA38" s="45">
        <f t="shared" si="105"/>
        <v>269900</v>
      </c>
      <c r="EB38" s="45">
        <f t="shared" si="105"/>
        <v>269900</v>
      </c>
      <c r="EC38" s="45">
        <f t="shared" si="105"/>
        <v>269900</v>
      </c>
      <c r="ED38" s="45">
        <f t="shared" si="105"/>
        <v>269900</v>
      </c>
      <c r="EE38" s="45">
        <f t="shared" si="105"/>
        <v>269900</v>
      </c>
      <c r="EF38" s="45">
        <f t="shared" si="105"/>
        <v>269900</v>
      </c>
      <c r="EG38" s="45">
        <f t="shared" si="105"/>
        <v>269900</v>
      </c>
      <c r="EH38" s="45">
        <f t="shared" si="105"/>
        <v>269900</v>
      </c>
      <c r="EI38" s="45">
        <f t="shared" si="105"/>
        <v>269900</v>
      </c>
      <c r="EJ38" s="45">
        <f t="shared" si="105"/>
        <v>269900</v>
      </c>
      <c r="EK38" s="45">
        <f t="shared" si="105"/>
        <v>269900</v>
      </c>
      <c r="EL38" s="45">
        <f t="shared" si="105"/>
        <v>269900</v>
      </c>
      <c r="EM38" s="45">
        <f t="shared" si="105"/>
        <v>269900</v>
      </c>
      <c r="EN38" s="45">
        <f t="shared" si="105"/>
        <v>269900</v>
      </c>
      <c r="EO38" s="45">
        <f t="shared" si="105"/>
        <v>269900</v>
      </c>
      <c r="EP38" s="45">
        <f t="shared" si="105"/>
        <v>269900</v>
      </c>
      <c r="EQ38" s="45">
        <f t="shared" si="105"/>
        <v>269900</v>
      </c>
    </row>
    <row r="39" spans="1:147" x14ac:dyDescent="0.3">
      <c r="A39" s="41" t="s">
        <v>132</v>
      </c>
      <c r="C39" s="45">
        <f t="shared" ref="C39:T39" si="106">C23+B39</f>
        <v>0</v>
      </c>
      <c r="D39" s="45">
        <f t="shared" si="106"/>
        <v>0</v>
      </c>
      <c r="E39" s="45">
        <f t="shared" si="106"/>
        <v>0</v>
      </c>
      <c r="F39" s="45">
        <f t="shared" si="106"/>
        <v>0</v>
      </c>
      <c r="G39" s="45">
        <f t="shared" si="106"/>
        <v>0</v>
      </c>
      <c r="H39" s="45">
        <f t="shared" si="106"/>
        <v>0</v>
      </c>
      <c r="I39" s="45">
        <f t="shared" si="106"/>
        <v>0</v>
      </c>
      <c r="J39" s="45">
        <f t="shared" si="106"/>
        <v>0</v>
      </c>
      <c r="K39" s="45">
        <f t="shared" si="106"/>
        <v>0</v>
      </c>
      <c r="L39" s="45">
        <f t="shared" si="106"/>
        <v>0</v>
      </c>
      <c r="M39" s="45">
        <f t="shared" si="106"/>
        <v>0</v>
      </c>
      <c r="N39" s="45">
        <f t="shared" si="106"/>
        <v>0</v>
      </c>
      <c r="O39" s="45">
        <f t="shared" si="106"/>
        <v>0</v>
      </c>
      <c r="P39" s="45">
        <f t="shared" si="106"/>
        <v>0</v>
      </c>
      <c r="Q39" s="45">
        <f t="shared" si="106"/>
        <v>0</v>
      </c>
      <c r="R39" s="45">
        <f t="shared" si="106"/>
        <v>0</v>
      </c>
      <c r="S39" s="45">
        <f t="shared" si="106"/>
        <v>0</v>
      </c>
      <c r="T39" s="45">
        <f t="shared" si="106"/>
        <v>0</v>
      </c>
      <c r="U39" s="45">
        <f>U23+T39</f>
        <v>0</v>
      </c>
      <c r="V39" s="45">
        <f t="shared" si="91"/>
        <v>0</v>
      </c>
      <c r="W39" s="45">
        <f t="shared" si="91"/>
        <v>0</v>
      </c>
      <c r="X39" s="45">
        <f>X23+W39</f>
        <v>0</v>
      </c>
      <c r="Y39" s="45">
        <f t="shared" ref="Y39:BD39" si="107">Y23+X39</f>
        <v>0</v>
      </c>
      <c r="Z39" s="45">
        <f t="shared" si="107"/>
        <v>1666.6666666666667</v>
      </c>
      <c r="AA39" s="45">
        <f t="shared" si="107"/>
        <v>3333.3333333333335</v>
      </c>
      <c r="AB39" s="45">
        <f t="shared" si="107"/>
        <v>5000</v>
      </c>
      <c r="AC39" s="45">
        <f t="shared" si="107"/>
        <v>6666.666666666667</v>
      </c>
      <c r="AD39" s="45">
        <f t="shared" si="107"/>
        <v>8333.3333333333339</v>
      </c>
      <c r="AE39" s="45">
        <f t="shared" si="107"/>
        <v>10000</v>
      </c>
      <c r="AF39" s="45">
        <f t="shared" si="107"/>
        <v>11666.666666666666</v>
      </c>
      <c r="AG39" s="45">
        <f t="shared" si="107"/>
        <v>13333.333333333332</v>
      </c>
      <c r="AH39" s="45">
        <f t="shared" si="107"/>
        <v>14999.999999999998</v>
      </c>
      <c r="AI39" s="45">
        <f t="shared" si="107"/>
        <v>16666.666666666664</v>
      </c>
      <c r="AJ39" s="45">
        <f t="shared" si="107"/>
        <v>18333.333333333332</v>
      </c>
      <c r="AK39" s="45">
        <f t="shared" si="107"/>
        <v>20000</v>
      </c>
      <c r="AL39" s="45">
        <f t="shared" si="107"/>
        <v>21666.666666666668</v>
      </c>
      <c r="AM39" s="45">
        <f t="shared" si="107"/>
        <v>23333.333333333336</v>
      </c>
      <c r="AN39" s="45">
        <f t="shared" si="107"/>
        <v>25000.000000000004</v>
      </c>
      <c r="AO39" s="45">
        <f t="shared" si="107"/>
        <v>26666.666666666672</v>
      </c>
      <c r="AP39" s="45">
        <f t="shared" si="107"/>
        <v>28333.333333333339</v>
      </c>
      <c r="AQ39" s="45">
        <f t="shared" si="107"/>
        <v>30000.000000000007</v>
      </c>
      <c r="AR39" s="204">
        <f t="shared" si="107"/>
        <v>31666.666666666675</v>
      </c>
      <c r="AS39" s="204">
        <f t="shared" si="107"/>
        <v>33333.333333333343</v>
      </c>
      <c r="AT39" s="204">
        <f t="shared" si="107"/>
        <v>35000.000000000007</v>
      </c>
      <c r="AU39" s="204">
        <f t="shared" si="107"/>
        <v>36666.666666666672</v>
      </c>
      <c r="AV39" s="204">
        <f t="shared" si="107"/>
        <v>38333.333333333336</v>
      </c>
      <c r="AW39" s="204">
        <f t="shared" si="107"/>
        <v>40000</v>
      </c>
      <c r="AX39" s="204">
        <f t="shared" si="107"/>
        <v>41666.666666666664</v>
      </c>
      <c r="AY39" s="204">
        <f t="shared" si="107"/>
        <v>43333.333333333328</v>
      </c>
      <c r="AZ39" s="204">
        <f t="shared" si="107"/>
        <v>44999.999999999993</v>
      </c>
      <c r="BA39" s="204">
        <f t="shared" si="107"/>
        <v>46666.666666666657</v>
      </c>
      <c r="BB39" s="204">
        <f t="shared" si="107"/>
        <v>48333.333333333321</v>
      </c>
      <c r="BC39" s="204">
        <f t="shared" si="107"/>
        <v>49999.999999999985</v>
      </c>
      <c r="BD39" s="45">
        <f t="shared" si="107"/>
        <v>51666.66666666665</v>
      </c>
      <c r="BE39" s="45">
        <f t="shared" ref="BE39:CJ39" si="108">BE23+BD39</f>
        <v>53333.333333333314</v>
      </c>
      <c r="BF39" s="45">
        <f t="shared" si="108"/>
        <v>54999.999999999978</v>
      </c>
      <c r="BG39" s="45">
        <f t="shared" si="108"/>
        <v>56666.666666666642</v>
      </c>
      <c r="BH39" s="45">
        <f t="shared" si="108"/>
        <v>58333.333333333307</v>
      </c>
      <c r="BI39" s="45">
        <f t="shared" si="108"/>
        <v>59999.999999999971</v>
      </c>
      <c r="BJ39" s="45">
        <f t="shared" si="108"/>
        <v>61666.666666666635</v>
      </c>
      <c r="BK39" s="45">
        <f t="shared" si="108"/>
        <v>63333.333333333299</v>
      </c>
      <c r="BL39" s="45">
        <f t="shared" si="108"/>
        <v>64999.999999999964</v>
      </c>
      <c r="BM39" s="45">
        <f t="shared" si="108"/>
        <v>66666.666666666628</v>
      </c>
      <c r="BN39" s="45">
        <f t="shared" si="108"/>
        <v>68333.333333333299</v>
      </c>
      <c r="BO39" s="45">
        <f t="shared" si="108"/>
        <v>69999.999999999971</v>
      </c>
      <c r="BP39" s="45">
        <f t="shared" si="108"/>
        <v>71666.666666666642</v>
      </c>
      <c r="BQ39" s="45">
        <f t="shared" si="108"/>
        <v>73333.333333333314</v>
      </c>
      <c r="BR39" s="45">
        <f t="shared" si="108"/>
        <v>74999.999999999985</v>
      </c>
      <c r="BS39" s="45">
        <f t="shared" si="108"/>
        <v>76666.666666666657</v>
      </c>
      <c r="BT39" s="45">
        <f t="shared" si="108"/>
        <v>78333.333333333328</v>
      </c>
      <c r="BU39" s="45">
        <f t="shared" si="108"/>
        <v>80000</v>
      </c>
      <c r="BV39" s="45">
        <f t="shared" si="108"/>
        <v>81666.666666666672</v>
      </c>
      <c r="BW39" s="45">
        <f t="shared" si="108"/>
        <v>83333.333333333343</v>
      </c>
      <c r="BX39" s="45">
        <f t="shared" si="108"/>
        <v>85000.000000000015</v>
      </c>
      <c r="BY39" s="45">
        <f t="shared" si="108"/>
        <v>86666.666666666686</v>
      </c>
      <c r="BZ39" s="45">
        <f t="shared" si="108"/>
        <v>88333.333333333358</v>
      </c>
      <c r="CA39" s="45">
        <f t="shared" si="108"/>
        <v>90000.000000000029</v>
      </c>
      <c r="CB39" s="45">
        <f t="shared" si="108"/>
        <v>91666.666666666701</v>
      </c>
      <c r="CC39" s="45">
        <f t="shared" si="108"/>
        <v>93333.333333333372</v>
      </c>
      <c r="CD39" s="45">
        <f t="shared" si="108"/>
        <v>95000.000000000044</v>
      </c>
      <c r="CE39" s="45">
        <f t="shared" si="108"/>
        <v>96666.666666666715</v>
      </c>
      <c r="CF39" s="45">
        <f t="shared" si="108"/>
        <v>98333.333333333387</v>
      </c>
      <c r="CG39" s="45">
        <f t="shared" si="108"/>
        <v>100000.00000000006</v>
      </c>
      <c r="CH39" s="45">
        <f t="shared" si="108"/>
        <v>101666.66666666673</v>
      </c>
      <c r="CI39" s="45">
        <f t="shared" si="108"/>
        <v>103333.3333333334</v>
      </c>
      <c r="CJ39" s="45">
        <f t="shared" si="108"/>
        <v>105000.00000000007</v>
      </c>
      <c r="CK39" s="45">
        <f t="shared" ref="CK39:DP39" si="109">CK23+CJ39</f>
        <v>106666.66666666674</v>
      </c>
      <c r="CL39" s="45">
        <f t="shared" si="109"/>
        <v>108333.33333333342</v>
      </c>
      <c r="CM39" s="45">
        <f t="shared" si="109"/>
        <v>110000.00000000009</v>
      </c>
      <c r="CN39" s="45">
        <f t="shared" si="109"/>
        <v>111666.66666666676</v>
      </c>
      <c r="CO39" s="45">
        <f t="shared" si="109"/>
        <v>113333.33333333343</v>
      </c>
      <c r="CP39" s="45">
        <f t="shared" si="109"/>
        <v>115000.0000000001</v>
      </c>
      <c r="CQ39" s="45">
        <f t="shared" si="109"/>
        <v>116666.66666666677</v>
      </c>
      <c r="CR39" s="45">
        <f t="shared" si="109"/>
        <v>118333.33333333344</v>
      </c>
      <c r="CS39" s="45">
        <f t="shared" si="109"/>
        <v>120000.00000000012</v>
      </c>
      <c r="CT39" s="45">
        <f t="shared" si="109"/>
        <v>121666.66666666679</v>
      </c>
      <c r="CU39" s="45">
        <f t="shared" si="109"/>
        <v>123333.33333333346</v>
      </c>
      <c r="CV39" s="45">
        <f t="shared" si="109"/>
        <v>125000.00000000013</v>
      </c>
      <c r="CW39" s="45">
        <f t="shared" si="109"/>
        <v>126666.6666666668</v>
      </c>
      <c r="CX39" s="45">
        <f t="shared" si="109"/>
        <v>128333.33333333347</v>
      </c>
      <c r="CY39" s="45">
        <f t="shared" si="109"/>
        <v>130000.00000000015</v>
      </c>
      <c r="CZ39" s="45">
        <f t="shared" si="109"/>
        <v>131666.6666666668</v>
      </c>
      <c r="DA39" s="45">
        <f t="shared" si="109"/>
        <v>133333.33333333346</v>
      </c>
      <c r="DB39" s="45">
        <f t="shared" si="109"/>
        <v>135000.00000000012</v>
      </c>
      <c r="DC39" s="45">
        <f t="shared" si="109"/>
        <v>136666.66666666677</v>
      </c>
      <c r="DD39" s="45">
        <f t="shared" si="109"/>
        <v>138333.33333333343</v>
      </c>
      <c r="DE39" s="45">
        <f t="shared" si="109"/>
        <v>140000.00000000009</v>
      </c>
      <c r="DF39" s="45">
        <f t="shared" si="109"/>
        <v>140000.00000000009</v>
      </c>
      <c r="DG39" s="45">
        <f t="shared" si="109"/>
        <v>140000.00000000009</v>
      </c>
      <c r="DH39" s="45">
        <f t="shared" si="109"/>
        <v>140000.00000000009</v>
      </c>
      <c r="DI39" s="45">
        <f t="shared" si="109"/>
        <v>140000.00000000009</v>
      </c>
      <c r="DJ39" s="45">
        <f t="shared" si="109"/>
        <v>140000.00000000009</v>
      </c>
      <c r="DK39" s="45">
        <f t="shared" si="109"/>
        <v>140000.00000000009</v>
      </c>
      <c r="DL39" s="45">
        <f t="shared" si="109"/>
        <v>140000.00000000009</v>
      </c>
      <c r="DM39" s="45">
        <f t="shared" si="109"/>
        <v>140000.00000000009</v>
      </c>
      <c r="DN39" s="45">
        <f t="shared" si="109"/>
        <v>140000.00000000009</v>
      </c>
      <c r="DO39" s="45">
        <f t="shared" si="109"/>
        <v>140000.00000000009</v>
      </c>
      <c r="DP39" s="45">
        <f t="shared" si="109"/>
        <v>140000.00000000009</v>
      </c>
      <c r="DQ39" s="45">
        <f t="shared" ref="DQ39:EQ39" si="110">DQ23+DP39</f>
        <v>140000.00000000009</v>
      </c>
      <c r="DR39" s="45">
        <f t="shared" si="110"/>
        <v>140000.00000000009</v>
      </c>
      <c r="DS39" s="45">
        <f t="shared" si="110"/>
        <v>140000.00000000009</v>
      </c>
      <c r="DT39" s="45">
        <f t="shared" si="110"/>
        <v>140000.00000000009</v>
      </c>
      <c r="DU39" s="45">
        <f t="shared" si="110"/>
        <v>140000.00000000009</v>
      </c>
      <c r="DV39" s="45">
        <f t="shared" si="110"/>
        <v>140000.00000000009</v>
      </c>
      <c r="DW39" s="45">
        <f t="shared" si="110"/>
        <v>140000.00000000009</v>
      </c>
      <c r="DX39" s="45">
        <f t="shared" si="110"/>
        <v>140000.00000000009</v>
      </c>
      <c r="DY39" s="45">
        <f t="shared" si="110"/>
        <v>140000.00000000009</v>
      </c>
      <c r="DZ39" s="45">
        <f t="shared" si="110"/>
        <v>140000.00000000009</v>
      </c>
      <c r="EA39" s="45">
        <f t="shared" si="110"/>
        <v>140000.00000000009</v>
      </c>
      <c r="EB39" s="45">
        <f t="shared" si="110"/>
        <v>140000.00000000009</v>
      </c>
      <c r="EC39" s="45">
        <f t="shared" si="110"/>
        <v>140000.00000000009</v>
      </c>
      <c r="ED39" s="45">
        <f t="shared" si="110"/>
        <v>140000.00000000009</v>
      </c>
      <c r="EE39" s="45">
        <f t="shared" si="110"/>
        <v>140000.00000000009</v>
      </c>
      <c r="EF39" s="45">
        <f t="shared" si="110"/>
        <v>140000.00000000009</v>
      </c>
      <c r="EG39" s="45">
        <f t="shared" si="110"/>
        <v>140000.00000000009</v>
      </c>
      <c r="EH39" s="45">
        <f t="shared" si="110"/>
        <v>140000.00000000009</v>
      </c>
      <c r="EI39" s="45">
        <f t="shared" si="110"/>
        <v>140000.00000000009</v>
      </c>
      <c r="EJ39" s="45">
        <f t="shared" si="110"/>
        <v>140000.00000000009</v>
      </c>
      <c r="EK39" s="45">
        <f t="shared" si="110"/>
        <v>140000.00000000009</v>
      </c>
      <c r="EL39" s="45">
        <f t="shared" si="110"/>
        <v>140000.00000000009</v>
      </c>
      <c r="EM39" s="45">
        <f t="shared" si="110"/>
        <v>140000.00000000009</v>
      </c>
      <c r="EN39" s="45">
        <f t="shared" si="110"/>
        <v>140000.00000000009</v>
      </c>
      <c r="EO39" s="45">
        <f t="shared" si="110"/>
        <v>140000.00000000009</v>
      </c>
      <c r="EP39" s="45">
        <f t="shared" si="110"/>
        <v>140000.00000000009</v>
      </c>
      <c r="EQ39" s="45">
        <f t="shared" si="110"/>
        <v>140000.00000000009</v>
      </c>
    </row>
    <row r="40" spans="1:147" x14ac:dyDescent="0.3">
      <c r="A40" s="41" t="s">
        <v>131</v>
      </c>
      <c r="C40" s="45">
        <f t="shared" ref="C40:T40" si="111">C24+B40</f>
        <v>0</v>
      </c>
      <c r="D40" s="45">
        <f t="shared" si="111"/>
        <v>0</v>
      </c>
      <c r="E40" s="45">
        <f t="shared" si="111"/>
        <v>0</v>
      </c>
      <c r="F40" s="45">
        <f t="shared" si="111"/>
        <v>0</v>
      </c>
      <c r="G40" s="45">
        <f t="shared" si="111"/>
        <v>0</v>
      </c>
      <c r="H40" s="45">
        <f t="shared" si="111"/>
        <v>0</v>
      </c>
      <c r="I40" s="45">
        <f t="shared" si="111"/>
        <v>0</v>
      </c>
      <c r="J40" s="45">
        <f t="shared" si="111"/>
        <v>0</v>
      </c>
      <c r="K40" s="45">
        <f t="shared" si="111"/>
        <v>0</v>
      </c>
      <c r="L40" s="45">
        <f t="shared" si="111"/>
        <v>0</v>
      </c>
      <c r="M40" s="45">
        <f t="shared" si="111"/>
        <v>0</v>
      </c>
      <c r="N40" s="45">
        <f t="shared" si="111"/>
        <v>0</v>
      </c>
      <c r="O40" s="45">
        <f t="shared" si="111"/>
        <v>0</v>
      </c>
      <c r="P40" s="45">
        <f t="shared" si="111"/>
        <v>0</v>
      </c>
      <c r="Q40" s="45">
        <f t="shared" si="111"/>
        <v>0</v>
      </c>
      <c r="R40" s="45">
        <f t="shared" si="111"/>
        <v>0</v>
      </c>
      <c r="S40" s="45">
        <f t="shared" si="111"/>
        <v>0</v>
      </c>
      <c r="T40" s="45">
        <f t="shared" si="111"/>
        <v>0</v>
      </c>
      <c r="U40" s="45">
        <f>U24+T40</f>
        <v>0</v>
      </c>
      <c r="V40" s="45">
        <f t="shared" si="91"/>
        <v>0</v>
      </c>
      <c r="W40" s="45">
        <f t="shared" si="91"/>
        <v>0</v>
      </c>
      <c r="X40" s="45">
        <f>X24+W40</f>
        <v>0</v>
      </c>
      <c r="Y40" s="45">
        <f t="shared" ref="Y40:BD40" si="112">Y24+X40</f>
        <v>0</v>
      </c>
      <c r="Z40" s="45">
        <f t="shared" si="112"/>
        <v>3247.0773809523807</v>
      </c>
      <c r="AA40" s="45">
        <f t="shared" si="112"/>
        <v>6494.1547619047615</v>
      </c>
      <c r="AB40" s="45">
        <f t="shared" si="112"/>
        <v>9741.2321428571413</v>
      </c>
      <c r="AC40" s="45">
        <f t="shared" si="112"/>
        <v>12988.309523809523</v>
      </c>
      <c r="AD40" s="45">
        <f t="shared" si="112"/>
        <v>16235.386904761905</v>
      </c>
      <c r="AE40" s="45">
        <f t="shared" si="112"/>
        <v>19482.464285714286</v>
      </c>
      <c r="AF40" s="45">
        <f t="shared" si="112"/>
        <v>22729.541666666668</v>
      </c>
      <c r="AG40" s="45">
        <f t="shared" si="112"/>
        <v>25976.61904761905</v>
      </c>
      <c r="AH40" s="45">
        <f t="shared" si="112"/>
        <v>29223.696428571431</v>
      </c>
      <c r="AI40" s="45">
        <f t="shared" si="112"/>
        <v>32470.773809523813</v>
      </c>
      <c r="AJ40" s="45">
        <f t="shared" si="112"/>
        <v>35717.851190476191</v>
      </c>
      <c r="AK40" s="45">
        <f t="shared" si="112"/>
        <v>38964.928571428572</v>
      </c>
      <c r="AL40" s="45">
        <f t="shared" si="112"/>
        <v>42212.005952380954</v>
      </c>
      <c r="AM40" s="45">
        <f t="shared" si="112"/>
        <v>45459.083333333336</v>
      </c>
      <c r="AN40" s="45">
        <f t="shared" si="112"/>
        <v>48706.160714285717</v>
      </c>
      <c r="AO40" s="45">
        <f t="shared" si="112"/>
        <v>51953.238095238099</v>
      </c>
      <c r="AP40" s="45">
        <f t="shared" si="112"/>
        <v>55200.315476190481</v>
      </c>
      <c r="AQ40" s="45">
        <f t="shared" si="112"/>
        <v>58447.392857142862</v>
      </c>
      <c r="AR40" s="204">
        <f t="shared" si="112"/>
        <v>61694.470238095244</v>
      </c>
      <c r="AS40" s="204">
        <f t="shared" si="112"/>
        <v>64941.547619047626</v>
      </c>
      <c r="AT40" s="204">
        <f t="shared" si="112"/>
        <v>68188.625</v>
      </c>
      <c r="AU40" s="204">
        <f t="shared" si="112"/>
        <v>71435.702380952382</v>
      </c>
      <c r="AV40" s="204">
        <f t="shared" si="112"/>
        <v>74682.779761904763</v>
      </c>
      <c r="AW40" s="204">
        <f t="shared" si="112"/>
        <v>77929.857142857145</v>
      </c>
      <c r="AX40" s="204">
        <f t="shared" si="112"/>
        <v>81176.934523809527</v>
      </c>
      <c r="AY40" s="204">
        <f t="shared" si="112"/>
        <v>84424.011904761908</v>
      </c>
      <c r="AZ40" s="204">
        <f t="shared" si="112"/>
        <v>87671.08928571429</v>
      </c>
      <c r="BA40" s="204">
        <f t="shared" si="112"/>
        <v>90918.166666666672</v>
      </c>
      <c r="BB40" s="204">
        <f t="shared" si="112"/>
        <v>94165.244047619053</v>
      </c>
      <c r="BC40" s="204">
        <f t="shared" si="112"/>
        <v>97412.321428571435</v>
      </c>
      <c r="BD40" s="45">
        <f t="shared" si="112"/>
        <v>100659.39880952382</v>
      </c>
      <c r="BE40" s="45">
        <f t="shared" ref="BE40:CJ40" si="113">BE24+BD40</f>
        <v>103906.4761904762</v>
      </c>
      <c r="BF40" s="45">
        <f t="shared" si="113"/>
        <v>107153.55357142858</v>
      </c>
      <c r="BG40" s="45">
        <f t="shared" si="113"/>
        <v>110400.63095238096</v>
      </c>
      <c r="BH40" s="45">
        <f t="shared" si="113"/>
        <v>113647.70833333334</v>
      </c>
      <c r="BI40" s="45">
        <f t="shared" si="113"/>
        <v>116894.78571428572</v>
      </c>
      <c r="BJ40" s="45">
        <f t="shared" si="113"/>
        <v>120141.86309523811</v>
      </c>
      <c r="BK40" s="45">
        <f t="shared" si="113"/>
        <v>123388.94047619049</v>
      </c>
      <c r="BL40" s="45">
        <f t="shared" si="113"/>
        <v>126636.01785714287</v>
      </c>
      <c r="BM40" s="45">
        <f t="shared" si="113"/>
        <v>129883.09523809525</v>
      </c>
      <c r="BN40" s="45">
        <f t="shared" si="113"/>
        <v>133130.17261904763</v>
      </c>
      <c r="BO40" s="45">
        <f t="shared" si="113"/>
        <v>136377.25</v>
      </c>
      <c r="BP40" s="45">
        <f t="shared" si="113"/>
        <v>139624.32738095237</v>
      </c>
      <c r="BQ40" s="45">
        <f t="shared" si="113"/>
        <v>142871.40476190473</v>
      </c>
      <c r="BR40" s="45">
        <f t="shared" si="113"/>
        <v>146118.4821428571</v>
      </c>
      <c r="BS40" s="45">
        <f t="shared" si="113"/>
        <v>149365.55952380947</v>
      </c>
      <c r="BT40" s="45">
        <f t="shared" si="113"/>
        <v>152612.63690476184</v>
      </c>
      <c r="BU40" s="45">
        <f t="shared" si="113"/>
        <v>155859.7142857142</v>
      </c>
      <c r="BV40" s="45">
        <f t="shared" si="113"/>
        <v>159106.79166666657</v>
      </c>
      <c r="BW40" s="45">
        <f t="shared" si="113"/>
        <v>162353.86904761894</v>
      </c>
      <c r="BX40" s="45">
        <f t="shared" si="113"/>
        <v>165600.9464285713</v>
      </c>
      <c r="BY40" s="45">
        <f t="shared" si="113"/>
        <v>168848.02380952367</v>
      </c>
      <c r="BZ40" s="45">
        <f t="shared" si="113"/>
        <v>172095.10119047604</v>
      </c>
      <c r="CA40" s="45">
        <f t="shared" si="113"/>
        <v>175342.17857142841</v>
      </c>
      <c r="CB40" s="45">
        <f t="shared" si="113"/>
        <v>178589.25595238077</v>
      </c>
      <c r="CC40" s="45">
        <f t="shared" si="113"/>
        <v>181836.33333333314</v>
      </c>
      <c r="CD40" s="45">
        <f t="shared" si="113"/>
        <v>185083.41071428551</v>
      </c>
      <c r="CE40" s="45">
        <f t="shared" si="113"/>
        <v>188330.48809523787</v>
      </c>
      <c r="CF40" s="45">
        <f t="shared" si="113"/>
        <v>191577.56547619024</v>
      </c>
      <c r="CG40" s="45">
        <f t="shared" si="113"/>
        <v>194824.64285714261</v>
      </c>
      <c r="CH40" s="45">
        <f t="shared" si="113"/>
        <v>198071.72023809497</v>
      </c>
      <c r="CI40" s="45">
        <f t="shared" si="113"/>
        <v>201318.79761904734</v>
      </c>
      <c r="CJ40" s="45">
        <f t="shared" si="113"/>
        <v>204565.87499999971</v>
      </c>
      <c r="CK40" s="45">
        <f t="shared" ref="CK40:DP40" si="114">CK24+CJ40</f>
        <v>207812.95238095208</v>
      </c>
      <c r="CL40" s="45">
        <f t="shared" si="114"/>
        <v>211060.02976190444</v>
      </c>
      <c r="CM40" s="45">
        <f t="shared" si="114"/>
        <v>214307.10714285681</v>
      </c>
      <c r="CN40" s="45">
        <f t="shared" si="114"/>
        <v>217554.18452380918</v>
      </c>
      <c r="CO40" s="45">
        <f t="shared" si="114"/>
        <v>220801.26190476154</v>
      </c>
      <c r="CP40" s="45">
        <f t="shared" si="114"/>
        <v>224048.33928571391</v>
      </c>
      <c r="CQ40" s="45">
        <f t="shared" si="114"/>
        <v>227295.41666666628</v>
      </c>
      <c r="CR40" s="45">
        <f t="shared" si="114"/>
        <v>230542.49404761865</v>
      </c>
      <c r="CS40" s="45">
        <f t="shared" si="114"/>
        <v>233789.57142857101</v>
      </c>
      <c r="CT40" s="45">
        <f t="shared" si="114"/>
        <v>237036.64880952338</v>
      </c>
      <c r="CU40" s="45">
        <f t="shared" si="114"/>
        <v>240283.72619047575</v>
      </c>
      <c r="CV40" s="45">
        <f t="shared" si="114"/>
        <v>243530.80357142811</v>
      </c>
      <c r="CW40" s="45">
        <f t="shared" si="114"/>
        <v>246777.88095238048</v>
      </c>
      <c r="CX40" s="45">
        <f t="shared" si="114"/>
        <v>250024.95833333285</v>
      </c>
      <c r="CY40" s="45">
        <f t="shared" si="114"/>
        <v>253272.03571428522</v>
      </c>
      <c r="CZ40" s="45">
        <f t="shared" si="114"/>
        <v>256519.11309523758</v>
      </c>
      <c r="DA40" s="45">
        <f t="shared" si="114"/>
        <v>259766.19047618995</v>
      </c>
      <c r="DB40" s="45">
        <f t="shared" si="114"/>
        <v>263013.26785714232</v>
      </c>
      <c r="DC40" s="45">
        <f t="shared" si="114"/>
        <v>266260.34523809468</v>
      </c>
      <c r="DD40" s="45">
        <f t="shared" si="114"/>
        <v>269507.42261904705</v>
      </c>
      <c r="DE40" s="45">
        <f t="shared" si="114"/>
        <v>272754.49999999942</v>
      </c>
      <c r="DF40" s="45">
        <f t="shared" si="114"/>
        <v>272754.49999999942</v>
      </c>
      <c r="DG40" s="45">
        <f t="shared" si="114"/>
        <v>272754.49999999942</v>
      </c>
      <c r="DH40" s="45">
        <f t="shared" si="114"/>
        <v>272754.49999999942</v>
      </c>
      <c r="DI40" s="45">
        <f t="shared" si="114"/>
        <v>272754.49999999942</v>
      </c>
      <c r="DJ40" s="45">
        <f t="shared" si="114"/>
        <v>272754.49999999942</v>
      </c>
      <c r="DK40" s="45">
        <f t="shared" si="114"/>
        <v>272754.49999999942</v>
      </c>
      <c r="DL40" s="45">
        <f t="shared" si="114"/>
        <v>272754.49999999942</v>
      </c>
      <c r="DM40" s="45">
        <f t="shared" si="114"/>
        <v>272754.49999999942</v>
      </c>
      <c r="DN40" s="45">
        <f t="shared" si="114"/>
        <v>272754.49999999942</v>
      </c>
      <c r="DO40" s="45">
        <f t="shared" si="114"/>
        <v>272754.49999999942</v>
      </c>
      <c r="DP40" s="45">
        <f t="shared" si="114"/>
        <v>272754.49999999942</v>
      </c>
      <c r="DQ40" s="45">
        <f t="shared" ref="DQ40:EQ40" si="115">DQ24+DP40</f>
        <v>272754.49999999942</v>
      </c>
      <c r="DR40" s="45">
        <f t="shared" si="115"/>
        <v>272754.49999999942</v>
      </c>
      <c r="DS40" s="45">
        <f t="shared" si="115"/>
        <v>272754.49999999942</v>
      </c>
      <c r="DT40" s="45">
        <f t="shared" si="115"/>
        <v>272754.49999999942</v>
      </c>
      <c r="DU40" s="45">
        <f t="shared" si="115"/>
        <v>272754.49999999942</v>
      </c>
      <c r="DV40" s="45">
        <f t="shared" si="115"/>
        <v>272754.49999999942</v>
      </c>
      <c r="DW40" s="45">
        <f t="shared" si="115"/>
        <v>272754.49999999942</v>
      </c>
      <c r="DX40" s="45">
        <f t="shared" si="115"/>
        <v>272754.49999999942</v>
      </c>
      <c r="DY40" s="45">
        <f t="shared" si="115"/>
        <v>272754.49999999942</v>
      </c>
      <c r="DZ40" s="45">
        <f t="shared" si="115"/>
        <v>272754.49999999942</v>
      </c>
      <c r="EA40" s="45">
        <f t="shared" si="115"/>
        <v>272754.49999999942</v>
      </c>
      <c r="EB40" s="45">
        <f t="shared" si="115"/>
        <v>272754.49999999942</v>
      </c>
      <c r="EC40" s="45">
        <f t="shared" si="115"/>
        <v>272754.49999999942</v>
      </c>
      <c r="ED40" s="45">
        <f t="shared" si="115"/>
        <v>272754.49999999942</v>
      </c>
      <c r="EE40" s="45">
        <f t="shared" si="115"/>
        <v>272754.49999999942</v>
      </c>
      <c r="EF40" s="45">
        <f t="shared" si="115"/>
        <v>272754.49999999942</v>
      </c>
      <c r="EG40" s="45">
        <f t="shared" si="115"/>
        <v>272754.49999999942</v>
      </c>
      <c r="EH40" s="45">
        <f t="shared" si="115"/>
        <v>272754.49999999942</v>
      </c>
      <c r="EI40" s="45">
        <f t="shared" si="115"/>
        <v>272754.49999999942</v>
      </c>
      <c r="EJ40" s="45">
        <f t="shared" si="115"/>
        <v>272754.49999999942</v>
      </c>
      <c r="EK40" s="45">
        <f t="shared" si="115"/>
        <v>272754.49999999942</v>
      </c>
      <c r="EL40" s="45">
        <f t="shared" si="115"/>
        <v>272754.49999999942</v>
      </c>
      <c r="EM40" s="45">
        <f t="shared" si="115"/>
        <v>272754.49999999942</v>
      </c>
      <c r="EN40" s="45">
        <f t="shared" si="115"/>
        <v>272754.49999999942</v>
      </c>
      <c r="EO40" s="45">
        <f t="shared" si="115"/>
        <v>272754.49999999942</v>
      </c>
      <c r="EP40" s="45">
        <f t="shared" si="115"/>
        <v>272754.49999999942</v>
      </c>
      <c r="EQ40" s="45">
        <f t="shared" si="115"/>
        <v>272754.49999999942</v>
      </c>
    </row>
    <row r="41" spans="1:147" x14ac:dyDescent="0.3">
      <c r="BE41" s="41"/>
    </row>
    <row r="42" spans="1:147" x14ac:dyDescent="0.3">
      <c r="BE42" s="41"/>
    </row>
    <row r="43" spans="1:147" s="46" customFormat="1" x14ac:dyDescent="0.3">
      <c r="A43" s="52" t="s">
        <v>18</v>
      </c>
      <c r="B43" s="205"/>
      <c r="C43" s="52">
        <f t="shared" ref="C43:AH43" si="116">SUM(C34:C40)</f>
        <v>12520.378095238095</v>
      </c>
      <c r="D43" s="52">
        <f t="shared" si="116"/>
        <v>14085.425714285715</v>
      </c>
      <c r="E43" s="52">
        <f t="shared" si="116"/>
        <v>15650.473333333335</v>
      </c>
      <c r="F43" s="52">
        <f t="shared" si="116"/>
        <v>17215.520952380954</v>
      </c>
      <c r="G43" s="52">
        <f t="shared" si="116"/>
        <v>18780.568571428572</v>
      </c>
      <c r="H43" s="52">
        <f t="shared" si="116"/>
        <v>22131.330476190476</v>
      </c>
      <c r="I43" s="52">
        <f t="shared" si="116"/>
        <v>28624.86357142857</v>
      </c>
      <c r="J43" s="52">
        <f t="shared" si="116"/>
        <v>38331.491904761904</v>
      </c>
      <c r="K43" s="52">
        <f t="shared" si="116"/>
        <v>48038.120238095238</v>
      </c>
      <c r="L43" s="52">
        <f t="shared" si="116"/>
        <v>57744.748571428572</v>
      </c>
      <c r="M43" s="52">
        <f t="shared" si="116"/>
        <v>67451.376904761899</v>
      </c>
      <c r="N43" s="52">
        <f t="shared" si="116"/>
        <v>77158.00523809524</v>
      </c>
      <c r="O43" s="52">
        <f t="shared" si="116"/>
        <v>86864.633571428567</v>
      </c>
      <c r="P43" s="52">
        <f t="shared" si="116"/>
        <v>96571.261904761894</v>
      </c>
      <c r="Q43" s="52">
        <f t="shared" si="116"/>
        <v>106277.89023809522</v>
      </c>
      <c r="R43" s="52">
        <f t="shared" si="116"/>
        <v>115984.51857142855</v>
      </c>
      <c r="S43" s="52">
        <f t="shared" si="116"/>
        <v>125691.14690476187</v>
      </c>
      <c r="T43" s="52">
        <f t="shared" si="116"/>
        <v>135397.77523809523</v>
      </c>
      <c r="U43" s="52">
        <f t="shared" si="116"/>
        <v>141235.34976190474</v>
      </c>
      <c r="V43" s="52">
        <f t="shared" si="116"/>
        <v>150560.20428571425</v>
      </c>
      <c r="W43" s="52">
        <f t="shared" si="116"/>
        <v>159885.05880952379</v>
      </c>
      <c r="X43" s="52">
        <f t="shared" si="116"/>
        <v>162138.70047619045</v>
      </c>
      <c r="Y43" s="52">
        <f t="shared" si="116"/>
        <v>171134.41214285709</v>
      </c>
      <c r="Z43" s="52">
        <f t="shared" si="116"/>
        <v>185043.86785714279</v>
      </c>
      <c r="AA43" s="52">
        <f t="shared" si="116"/>
        <v>198953.32357142854</v>
      </c>
      <c r="AB43" s="52">
        <f t="shared" si="116"/>
        <v>212862.7792857142</v>
      </c>
      <c r="AC43" s="52">
        <f t="shared" si="116"/>
        <v>226772.23499999996</v>
      </c>
      <c r="AD43" s="52">
        <f t="shared" si="116"/>
        <v>240681.69071428568</v>
      </c>
      <c r="AE43" s="52">
        <f t="shared" si="116"/>
        <v>254591.1464285714</v>
      </c>
      <c r="AF43" s="52">
        <f t="shared" si="116"/>
        <v>268500.6021428571</v>
      </c>
      <c r="AG43" s="52">
        <f t="shared" si="116"/>
        <v>282410.05785714282</v>
      </c>
      <c r="AH43" s="52">
        <f t="shared" si="116"/>
        <v>296319.51357142854</v>
      </c>
      <c r="AI43" s="52">
        <f t="shared" ref="AI43:BN43" si="117">SUM(AI34:AI40)</f>
        <v>310228.96928571427</v>
      </c>
      <c r="AJ43" s="52">
        <f t="shared" si="117"/>
        <v>324138.42499999999</v>
      </c>
      <c r="AK43" s="52">
        <f t="shared" si="117"/>
        <v>305547.88690476189</v>
      </c>
      <c r="AL43" s="52">
        <f t="shared" si="117"/>
        <v>318683.53309523815</v>
      </c>
      <c r="AM43" s="52">
        <f t="shared" si="117"/>
        <v>331819.17928571423</v>
      </c>
      <c r="AN43" s="52">
        <f t="shared" si="117"/>
        <v>344954.82547619054</v>
      </c>
      <c r="AO43" s="52">
        <f t="shared" si="117"/>
        <v>358090.47166666668</v>
      </c>
      <c r="AP43" s="52">
        <f t="shared" si="117"/>
        <v>362033.07023809524</v>
      </c>
      <c r="AQ43" s="52">
        <f t="shared" si="117"/>
        <v>374996.73880952381</v>
      </c>
      <c r="AR43" s="206">
        <f t="shared" si="117"/>
        <v>387960.40738095244</v>
      </c>
      <c r="AS43" s="206">
        <f t="shared" si="117"/>
        <v>400924.07595238095</v>
      </c>
      <c r="AT43" s="206">
        <f t="shared" si="117"/>
        <v>413887.74452380958</v>
      </c>
      <c r="AU43" s="206">
        <f t="shared" si="117"/>
        <v>426851.41309523809</v>
      </c>
      <c r="AV43" s="206">
        <f t="shared" si="117"/>
        <v>439815.08166666667</v>
      </c>
      <c r="AW43" s="206">
        <f t="shared" si="117"/>
        <v>452778.75023809529</v>
      </c>
      <c r="AX43" s="206">
        <f t="shared" si="117"/>
        <v>465742.41880952386</v>
      </c>
      <c r="AY43" s="206">
        <f t="shared" si="117"/>
        <v>478706.08738095238</v>
      </c>
      <c r="AZ43" s="206">
        <f t="shared" si="117"/>
        <v>491669.75595238095</v>
      </c>
      <c r="BA43" s="206">
        <f t="shared" si="117"/>
        <v>504633.42452380952</v>
      </c>
      <c r="BB43" s="206">
        <f t="shared" si="117"/>
        <v>517597.09309523815</v>
      </c>
      <c r="BC43" s="206">
        <f t="shared" si="117"/>
        <v>530560.76166666672</v>
      </c>
      <c r="BD43" s="52">
        <f t="shared" si="117"/>
        <v>543524.43023809523</v>
      </c>
      <c r="BE43" s="52">
        <f t="shared" si="117"/>
        <v>556488.09880952386</v>
      </c>
      <c r="BF43" s="52">
        <f t="shared" si="117"/>
        <v>569451.76738095237</v>
      </c>
      <c r="BG43" s="52">
        <f t="shared" si="117"/>
        <v>582415.435952381</v>
      </c>
      <c r="BH43" s="52">
        <f t="shared" si="117"/>
        <v>595379.10452380951</v>
      </c>
      <c r="BI43" s="52">
        <f t="shared" si="117"/>
        <v>608342.77309523814</v>
      </c>
      <c r="BJ43" s="52">
        <f t="shared" si="117"/>
        <v>621306.44166666665</v>
      </c>
      <c r="BK43" s="52">
        <f t="shared" si="117"/>
        <v>634270.11023809528</v>
      </c>
      <c r="BL43" s="52">
        <f t="shared" si="117"/>
        <v>647233.77880952379</v>
      </c>
      <c r="BM43" s="52">
        <f t="shared" si="117"/>
        <v>660197.44738095242</v>
      </c>
      <c r="BN43" s="52">
        <f t="shared" si="117"/>
        <v>673161.11595238093</v>
      </c>
      <c r="BO43" s="52">
        <f t="shared" ref="BO43:CT43" si="118">SUM(BO34:BO40)</f>
        <v>686124.78452380956</v>
      </c>
      <c r="BP43" s="52">
        <f t="shared" si="118"/>
        <v>699088.45309523819</v>
      </c>
      <c r="BQ43" s="52">
        <f t="shared" si="118"/>
        <v>712052.1216666667</v>
      </c>
      <c r="BR43" s="52">
        <f t="shared" si="118"/>
        <v>725015.79023809521</v>
      </c>
      <c r="BS43" s="52">
        <f t="shared" si="118"/>
        <v>737979.45880952373</v>
      </c>
      <c r="BT43" s="52">
        <f t="shared" si="118"/>
        <v>750943.12738095247</v>
      </c>
      <c r="BU43" s="52">
        <f t="shared" si="118"/>
        <v>763906.79595238087</v>
      </c>
      <c r="BV43" s="52">
        <f t="shared" si="118"/>
        <v>776870.4645238095</v>
      </c>
      <c r="BW43" s="52">
        <f t="shared" si="118"/>
        <v>789834.13309523812</v>
      </c>
      <c r="BX43" s="52">
        <f t="shared" si="118"/>
        <v>802797.80166666652</v>
      </c>
      <c r="BY43" s="52">
        <f t="shared" si="118"/>
        <v>815761.47023809527</v>
      </c>
      <c r="BZ43" s="52">
        <f t="shared" si="118"/>
        <v>828725.13880952378</v>
      </c>
      <c r="CA43" s="52">
        <f t="shared" si="118"/>
        <v>841688.80738095229</v>
      </c>
      <c r="CB43" s="52">
        <f t="shared" si="118"/>
        <v>853861.23785714293</v>
      </c>
      <c r="CC43" s="52">
        <f t="shared" si="118"/>
        <v>866033.66833333322</v>
      </c>
      <c r="CD43" s="52">
        <f t="shared" si="118"/>
        <v>878206.09880952374</v>
      </c>
      <c r="CE43" s="52">
        <f t="shared" si="118"/>
        <v>890378.52928571426</v>
      </c>
      <c r="CF43" s="52">
        <f t="shared" si="118"/>
        <v>902550.95976190455</v>
      </c>
      <c r="CG43" s="52">
        <f t="shared" si="118"/>
        <v>914723.39023809519</v>
      </c>
      <c r="CH43" s="52">
        <f t="shared" si="118"/>
        <v>926895.8207142856</v>
      </c>
      <c r="CI43" s="52">
        <f t="shared" si="118"/>
        <v>939068.25119047612</v>
      </c>
      <c r="CJ43" s="52">
        <f t="shared" si="118"/>
        <v>951240.68166666664</v>
      </c>
      <c r="CK43" s="52">
        <f t="shared" si="118"/>
        <v>963413.11214285705</v>
      </c>
      <c r="CL43" s="52">
        <f t="shared" si="118"/>
        <v>975585.54261904745</v>
      </c>
      <c r="CM43" s="52">
        <f t="shared" si="118"/>
        <v>987757.97309523809</v>
      </c>
      <c r="CN43" s="52">
        <f t="shared" si="118"/>
        <v>999027.58357142843</v>
      </c>
      <c r="CO43" s="52">
        <f t="shared" si="118"/>
        <v>1007154.4228571429</v>
      </c>
      <c r="CP43" s="52">
        <f t="shared" si="118"/>
        <v>1012068.1669047619</v>
      </c>
      <c r="CQ43" s="52">
        <f t="shared" si="118"/>
        <v>1016981.9109523809</v>
      </c>
      <c r="CR43" s="52">
        <f t="shared" si="118"/>
        <v>1021895.655</v>
      </c>
      <c r="CS43" s="52">
        <f t="shared" si="118"/>
        <v>1026809.399047619</v>
      </c>
      <c r="CT43" s="52">
        <f t="shared" si="118"/>
        <v>1031723.1430952379</v>
      </c>
      <c r="CU43" s="52">
        <f t="shared" ref="CU43:DZ43" si="119">SUM(CU34:CU40)</f>
        <v>1036636.8871428571</v>
      </c>
      <c r="CV43" s="52">
        <f t="shared" si="119"/>
        <v>1041550.631190476</v>
      </c>
      <c r="CW43" s="52">
        <f t="shared" si="119"/>
        <v>1046464.3752380951</v>
      </c>
      <c r="CX43" s="52">
        <f t="shared" si="119"/>
        <v>1051378.1192857141</v>
      </c>
      <c r="CY43" s="52">
        <f t="shared" si="119"/>
        <v>1056291.8633333333</v>
      </c>
      <c r="CZ43" s="52">
        <f t="shared" si="119"/>
        <v>1061205.6073809522</v>
      </c>
      <c r="DA43" s="52">
        <f t="shared" si="119"/>
        <v>1066119.3514285712</v>
      </c>
      <c r="DB43" s="52">
        <f t="shared" si="119"/>
        <v>1071033.0954761903</v>
      </c>
      <c r="DC43" s="52">
        <f t="shared" si="119"/>
        <v>1075946.8395238093</v>
      </c>
      <c r="DD43" s="52">
        <f t="shared" si="119"/>
        <v>1080860.5835714284</v>
      </c>
      <c r="DE43" s="52">
        <f t="shared" si="119"/>
        <v>1085774.3276190474</v>
      </c>
      <c r="DF43" s="52">
        <f t="shared" si="119"/>
        <v>1085774.3276190474</v>
      </c>
      <c r="DG43" s="52">
        <f t="shared" si="119"/>
        <v>1085774.3276190474</v>
      </c>
      <c r="DH43" s="52">
        <f t="shared" si="119"/>
        <v>1085774.3276190474</v>
      </c>
      <c r="DI43" s="52">
        <f t="shared" si="119"/>
        <v>1085774.3276190474</v>
      </c>
      <c r="DJ43" s="52">
        <f t="shared" si="119"/>
        <v>1085774.3276190474</v>
      </c>
      <c r="DK43" s="52">
        <f t="shared" si="119"/>
        <v>1085774.3276190474</v>
      </c>
      <c r="DL43" s="52">
        <f t="shared" si="119"/>
        <v>1085774.3276190474</v>
      </c>
      <c r="DM43" s="52">
        <f t="shared" si="119"/>
        <v>1085774.3276190474</v>
      </c>
      <c r="DN43" s="52">
        <f t="shared" si="119"/>
        <v>1085774.3276190474</v>
      </c>
      <c r="DO43" s="52">
        <f t="shared" si="119"/>
        <v>1085774.3276190474</v>
      </c>
      <c r="DP43" s="52">
        <f t="shared" si="119"/>
        <v>1085774.3276190474</v>
      </c>
      <c r="DQ43" s="52">
        <f t="shared" si="119"/>
        <v>1085774.3276190474</v>
      </c>
      <c r="DR43" s="52">
        <f t="shared" si="119"/>
        <v>1085774.3276190474</v>
      </c>
      <c r="DS43" s="52">
        <f t="shared" si="119"/>
        <v>1085774.3276190474</v>
      </c>
      <c r="DT43" s="52">
        <f t="shared" si="119"/>
        <v>1085774.3276190474</v>
      </c>
      <c r="DU43" s="52">
        <f t="shared" si="119"/>
        <v>1085774.3276190474</v>
      </c>
      <c r="DV43" s="52">
        <f t="shared" si="119"/>
        <v>1085774.3276190474</v>
      </c>
      <c r="DW43" s="52">
        <f t="shared" si="119"/>
        <v>1085774.3276190474</v>
      </c>
      <c r="DX43" s="52">
        <f t="shared" si="119"/>
        <v>1085774.3276190474</v>
      </c>
      <c r="DY43" s="52">
        <f t="shared" si="119"/>
        <v>1085774.3276190474</v>
      </c>
      <c r="DZ43" s="52">
        <f t="shared" si="119"/>
        <v>1085774.3276190474</v>
      </c>
      <c r="EA43" s="52">
        <f t="shared" ref="EA43:EQ43" si="120">SUM(EA34:EA40)</f>
        <v>1085774.3276190474</v>
      </c>
      <c r="EB43" s="52">
        <f t="shared" si="120"/>
        <v>1085774.3276190474</v>
      </c>
      <c r="EC43" s="52">
        <f t="shared" si="120"/>
        <v>1085774.3276190474</v>
      </c>
      <c r="ED43" s="52">
        <f t="shared" si="120"/>
        <v>1085774.3276190474</v>
      </c>
      <c r="EE43" s="52">
        <f t="shared" si="120"/>
        <v>1085774.3276190474</v>
      </c>
      <c r="EF43" s="52">
        <f t="shared" si="120"/>
        <v>1085774.3276190474</v>
      </c>
      <c r="EG43" s="52">
        <f t="shared" si="120"/>
        <v>1085774.3276190474</v>
      </c>
      <c r="EH43" s="52">
        <f t="shared" si="120"/>
        <v>1085774.3276190474</v>
      </c>
      <c r="EI43" s="52">
        <f t="shared" si="120"/>
        <v>1085774.3276190474</v>
      </c>
      <c r="EJ43" s="52">
        <f t="shared" si="120"/>
        <v>1085774.3276190474</v>
      </c>
      <c r="EK43" s="52">
        <f t="shared" si="120"/>
        <v>1085774.3276190474</v>
      </c>
      <c r="EL43" s="52">
        <f t="shared" si="120"/>
        <v>1085774.3276190474</v>
      </c>
      <c r="EM43" s="52">
        <f t="shared" si="120"/>
        <v>1085774.3276190474</v>
      </c>
      <c r="EN43" s="52">
        <f t="shared" si="120"/>
        <v>1085774.3276190474</v>
      </c>
      <c r="EO43" s="52">
        <f t="shared" si="120"/>
        <v>1085774.3276190474</v>
      </c>
      <c r="EP43" s="52">
        <f t="shared" si="120"/>
        <v>1085774.3276190474</v>
      </c>
      <c r="EQ43" s="52">
        <f t="shared" si="120"/>
        <v>1085774.3276190474</v>
      </c>
    </row>
    <row r="44" spans="1:147" x14ac:dyDescent="0.3">
      <c r="BE44" s="41"/>
    </row>
    <row r="45" spans="1:147" x14ac:dyDescent="0.3">
      <c r="BE45" s="41"/>
    </row>
    <row r="46" spans="1:147" x14ac:dyDescent="0.3">
      <c r="A46" s="40" t="s">
        <v>20</v>
      </c>
      <c r="B46" s="44"/>
      <c r="BE46" s="41"/>
    </row>
    <row r="47" spans="1:147" x14ac:dyDescent="0.3">
      <c r="BE47" s="41"/>
    </row>
    <row r="48" spans="1:147" s="43" customFormat="1" x14ac:dyDescent="0.3">
      <c r="B48" s="42"/>
      <c r="C48" s="43">
        <f>C33</f>
        <v>44439</v>
      </c>
      <c r="D48" s="43">
        <f t="shared" ref="D48:AI48" si="121">EOMONTH(C48,1)</f>
        <v>44469</v>
      </c>
      <c r="E48" s="43">
        <f t="shared" si="121"/>
        <v>44500</v>
      </c>
      <c r="F48" s="43">
        <f t="shared" si="121"/>
        <v>44530</v>
      </c>
      <c r="G48" s="43">
        <f t="shared" si="121"/>
        <v>44561</v>
      </c>
      <c r="H48" s="43">
        <f t="shared" si="121"/>
        <v>44592</v>
      </c>
      <c r="I48" s="43">
        <f t="shared" si="121"/>
        <v>44620</v>
      </c>
      <c r="J48" s="43">
        <f t="shared" si="121"/>
        <v>44651</v>
      </c>
      <c r="K48" s="43">
        <f t="shared" si="121"/>
        <v>44681</v>
      </c>
      <c r="L48" s="43">
        <f t="shared" si="121"/>
        <v>44712</v>
      </c>
      <c r="M48" s="43">
        <f t="shared" si="121"/>
        <v>44742</v>
      </c>
      <c r="N48" s="43">
        <f t="shared" si="121"/>
        <v>44773</v>
      </c>
      <c r="O48" s="43">
        <f t="shared" si="121"/>
        <v>44804</v>
      </c>
      <c r="P48" s="43">
        <f t="shared" si="121"/>
        <v>44834</v>
      </c>
      <c r="Q48" s="43">
        <f t="shared" si="121"/>
        <v>44865</v>
      </c>
      <c r="R48" s="43">
        <f t="shared" si="121"/>
        <v>44895</v>
      </c>
      <c r="S48" s="43">
        <f t="shared" si="121"/>
        <v>44926</v>
      </c>
      <c r="T48" s="43">
        <f t="shared" si="121"/>
        <v>44957</v>
      </c>
      <c r="U48" s="43">
        <f t="shared" si="121"/>
        <v>44985</v>
      </c>
      <c r="V48" s="43">
        <f t="shared" si="121"/>
        <v>45016</v>
      </c>
      <c r="W48" s="43">
        <f t="shared" si="121"/>
        <v>45046</v>
      </c>
      <c r="X48" s="43">
        <f t="shared" si="121"/>
        <v>45077</v>
      </c>
      <c r="Y48" s="43">
        <f t="shared" si="121"/>
        <v>45107</v>
      </c>
      <c r="Z48" s="43">
        <f t="shared" si="121"/>
        <v>45138</v>
      </c>
      <c r="AA48" s="43">
        <f t="shared" si="121"/>
        <v>45169</v>
      </c>
      <c r="AB48" s="43">
        <f t="shared" si="121"/>
        <v>45199</v>
      </c>
      <c r="AC48" s="43">
        <f t="shared" si="121"/>
        <v>45230</v>
      </c>
      <c r="AD48" s="43">
        <f t="shared" si="121"/>
        <v>45260</v>
      </c>
      <c r="AE48" s="43">
        <f t="shared" si="121"/>
        <v>45291</v>
      </c>
      <c r="AF48" s="43">
        <f t="shared" si="121"/>
        <v>45322</v>
      </c>
      <c r="AG48" s="43">
        <f t="shared" si="121"/>
        <v>45351</v>
      </c>
      <c r="AH48" s="43">
        <f t="shared" si="121"/>
        <v>45382</v>
      </c>
      <c r="AI48" s="43">
        <f t="shared" si="121"/>
        <v>45412</v>
      </c>
      <c r="AJ48" s="43">
        <f t="shared" ref="AJ48:BO48" si="122">EOMONTH(AI48,1)</f>
        <v>45443</v>
      </c>
      <c r="AK48" s="43">
        <f t="shared" si="122"/>
        <v>45473</v>
      </c>
      <c r="AL48" s="43">
        <f t="shared" si="122"/>
        <v>45504</v>
      </c>
      <c r="AM48" s="43">
        <f t="shared" si="122"/>
        <v>45535</v>
      </c>
      <c r="AN48" s="43">
        <f t="shared" si="122"/>
        <v>45565</v>
      </c>
      <c r="AO48" s="43">
        <f t="shared" si="122"/>
        <v>45596</v>
      </c>
      <c r="AP48" s="43">
        <f t="shared" si="122"/>
        <v>45626</v>
      </c>
      <c r="AQ48" s="43">
        <f t="shared" si="122"/>
        <v>45657</v>
      </c>
      <c r="AR48" s="199">
        <f t="shared" si="122"/>
        <v>45688</v>
      </c>
      <c r="AS48" s="199">
        <f t="shared" si="122"/>
        <v>45716</v>
      </c>
      <c r="AT48" s="199">
        <f t="shared" si="122"/>
        <v>45747</v>
      </c>
      <c r="AU48" s="199">
        <f t="shared" si="122"/>
        <v>45777</v>
      </c>
      <c r="AV48" s="199">
        <f t="shared" si="122"/>
        <v>45808</v>
      </c>
      <c r="AW48" s="199">
        <f t="shared" si="122"/>
        <v>45838</v>
      </c>
      <c r="AX48" s="199">
        <f t="shared" si="122"/>
        <v>45869</v>
      </c>
      <c r="AY48" s="199">
        <f t="shared" si="122"/>
        <v>45900</v>
      </c>
      <c r="AZ48" s="199">
        <f t="shared" si="122"/>
        <v>45930</v>
      </c>
      <c r="BA48" s="199">
        <f t="shared" si="122"/>
        <v>45961</v>
      </c>
      <c r="BB48" s="199">
        <f t="shared" si="122"/>
        <v>45991</v>
      </c>
      <c r="BC48" s="199">
        <f t="shared" si="122"/>
        <v>46022</v>
      </c>
      <c r="BD48" s="43">
        <f t="shared" si="122"/>
        <v>46053</v>
      </c>
      <c r="BE48" s="43">
        <f t="shared" si="122"/>
        <v>46081</v>
      </c>
      <c r="BF48" s="43">
        <f t="shared" si="122"/>
        <v>46112</v>
      </c>
      <c r="BG48" s="43">
        <f t="shared" si="122"/>
        <v>46142</v>
      </c>
      <c r="BH48" s="43">
        <f t="shared" si="122"/>
        <v>46173</v>
      </c>
      <c r="BI48" s="43">
        <f t="shared" si="122"/>
        <v>46203</v>
      </c>
      <c r="BJ48" s="43">
        <f t="shared" si="122"/>
        <v>46234</v>
      </c>
      <c r="BK48" s="43">
        <f t="shared" si="122"/>
        <v>46265</v>
      </c>
      <c r="BL48" s="43">
        <f t="shared" si="122"/>
        <v>46295</v>
      </c>
      <c r="BM48" s="43">
        <f t="shared" si="122"/>
        <v>46326</v>
      </c>
      <c r="BN48" s="43">
        <f t="shared" si="122"/>
        <v>46356</v>
      </c>
      <c r="BO48" s="43">
        <f t="shared" si="122"/>
        <v>46387</v>
      </c>
      <c r="BP48" s="43">
        <f t="shared" ref="BP48:CU48" si="123">EOMONTH(BO48,1)</f>
        <v>46418</v>
      </c>
      <c r="BQ48" s="43">
        <f t="shared" si="123"/>
        <v>46446</v>
      </c>
      <c r="BR48" s="43">
        <f t="shared" si="123"/>
        <v>46477</v>
      </c>
      <c r="BS48" s="43">
        <f t="shared" si="123"/>
        <v>46507</v>
      </c>
      <c r="BT48" s="43">
        <f t="shared" si="123"/>
        <v>46538</v>
      </c>
      <c r="BU48" s="43">
        <f t="shared" si="123"/>
        <v>46568</v>
      </c>
      <c r="BV48" s="43">
        <f t="shared" si="123"/>
        <v>46599</v>
      </c>
      <c r="BW48" s="43">
        <f t="shared" si="123"/>
        <v>46630</v>
      </c>
      <c r="BX48" s="43">
        <f t="shared" si="123"/>
        <v>46660</v>
      </c>
      <c r="BY48" s="43">
        <f t="shared" si="123"/>
        <v>46691</v>
      </c>
      <c r="BZ48" s="43">
        <f t="shared" si="123"/>
        <v>46721</v>
      </c>
      <c r="CA48" s="43">
        <f t="shared" si="123"/>
        <v>46752</v>
      </c>
      <c r="CB48" s="43">
        <f t="shared" si="123"/>
        <v>46783</v>
      </c>
      <c r="CC48" s="43">
        <f t="shared" si="123"/>
        <v>46812</v>
      </c>
      <c r="CD48" s="43">
        <f t="shared" si="123"/>
        <v>46843</v>
      </c>
      <c r="CE48" s="43">
        <f t="shared" si="123"/>
        <v>46873</v>
      </c>
      <c r="CF48" s="43">
        <f t="shared" si="123"/>
        <v>46904</v>
      </c>
      <c r="CG48" s="43">
        <f t="shared" si="123"/>
        <v>46934</v>
      </c>
      <c r="CH48" s="43">
        <f t="shared" si="123"/>
        <v>46965</v>
      </c>
      <c r="CI48" s="43">
        <f t="shared" si="123"/>
        <v>46996</v>
      </c>
      <c r="CJ48" s="43">
        <f t="shared" si="123"/>
        <v>47026</v>
      </c>
      <c r="CK48" s="43">
        <f t="shared" si="123"/>
        <v>47057</v>
      </c>
      <c r="CL48" s="43">
        <f t="shared" si="123"/>
        <v>47087</v>
      </c>
      <c r="CM48" s="43">
        <f t="shared" si="123"/>
        <v>47118</v>
      </c>
      <c r="CN48" s="43">
        <f t="shared" si="123"/>
        <v>47149</v>
      </c>
      <c r="CO48" s="43">
        <f t="shared" si="123"/>
        <v>47177</v>
      </c>
      <c r="CP48" s="43">
        <f t="shared" si="123"/>
        <v>47208</v>
      </c>
      <c r="CQ48" s="43">
        <f t="shared" si="123"/>
        <v>47238</v>
      </c>
      <c r="CR48" s="43">
        <f t="shared" si="123"/>
        <v>47269</v>
      </c>
      <c r="CS48" s="43">
        <f t="shared" si="123"/>
        <v>47299</v>
      </c>
      <c r="CT48" s="43">
        <f t="shared" si="123"/>
        <v>47330</v>
      </c>
      <c r="CU48" s="43">
        <f t="shared" si="123"/>
        <v>47361</v>
      </c>
      <c r="CV48" s="43">
        <f t="shared" ref="CV48:EA48" si="124">EOMONTH(CU48,1)</f>
        <v>47391</v>
      </c>
      <c r="CW48" s="43">
        <f t="shared" si="124"/>
        <v>47422</v>
      </c>
      <c r="CX48" s="43">
        <f t="shared" si="124"/>
        <v>47452</v>
      </c>
      <c r="CY48" s="43">
        <f t="shared" si="124"/>
        <v>47483</v>
      </c>
      <c r="CZ48" s="43">
        <f t="shared" si="124"/>
        <v>47514</v>
      </c>
      <c r="DA48" s="43">
        <f t="shared" si="124"/>
        <v>47542</v>
      </c>
      <c r="DB48" s="43">
        <f t="shared" si="124"/>
        <v>47573</v>
      </c>
      <c r="DC48" s="43">
        <f t="shared" si="124"/>
        <v>47603</v>
      </c>
      <c r="DD48" s="43">
        <f t="shared" si="124"/>
        <v>47634</v>
      </c>
      <c r="DE48" s="43">
        <f t="shared" si="124"/>
        <v>47664</v>
      </c>
      <c r="DF48" s="43">
        <f t="shared" si="124"/>
        <v>47695</v>
      </c>
      <c r="DG48" s="43">
        <f t="shared" si="124"/>
        <v>47726</v>
      </c>
      <c r="DH48" s="43">
        <f t="shared" si="124"/>
        <v>47756</v>
      </c>
      <c r="DI48" s="43">
        <f t="shared" si="124"/>
        <v>47787</v>
      </c>
      <c r="DJ48" s="43">
        <f t="shared" si="124"/>
        <v>47817</v>
      </c>
      <c r="DK48" s="43">
        <f t="shared" si="124"/>
        <v>47848</v>
      </c>
      <c r="DL48" s="43">
        <f t="shared" si="124"/>
        <v>47879</v>
      </c>
      <c r="DM48" s="43">
        <f t="shared" si="124"/>
        <v>47907</v>
      </c>
      <c r="DN48" s="43">
        <f t="shared" si="124"/>
        <v>47938</v>
      </c>
      <c r="DO48" s="43">
        <f t="shared" si="124"/>
        <v>47968</v>
      </c>
      <c r="DP48" s="43">
        <f t="shared" si="124"/>
        <v>47999</v>
      </c>
      <c r="DQ48" s="43">
        <f t="shared" si="124"/>
        <v>48029</v>
      </c>
      <c r="DR48" s="43">
        <f t="shared" si="124"/>
        <v>48060</v>
      </c>
      <c r="DS48" s="43">
        <f t="shared" si="124"/>
        <v>48091</v>
      </c>
      <c r="DT48" s="43">
        <f t="shared" si="124"/>
        <v>48121</v>
      </c>
      <c r="DU48" s="43">
        <f t="shared" si="124"/>
        <v>48152</v>
      </c>
      <c r="DV48" s="43">
        <f t="shared" si="124"/>
        <v>48182</v>
      </c>
      <c r="DW48" s="43">
        <f t="shared" si="124"/>
        <v>48213</v>
      </c>
      <c r="DX48" s="43">
        <f t="shared" si="124"/>
        <v>48244</v>
      </c>
      <c r="DY48" s="43">
        <f t="shared" si="124"/>
        <v>48273</v>
      </c>
      <c r="DZ48" s="43">
        <f t="shared" si="124"/>
        <v>48304</v>
      </c>
      <c r="EA48" s="43">
        <f t="shared" si="124"/>
        <v>48334</v>
      </c>
      <c r="EB48" s="43">
        <f t="shared" ref="EB48:EQ48" si="125">EOMONTH(EA48,1)</f>
        <v>48365</v>
      </c>
      <c r="EC48" s="43">
        <f t="shared" si="125"/>
        <v>48395</v>
      </c>
      <c r="ED48" s="43">
        <f t="shared" si="125"/>
        <v>48426</v>
      </c>
      <c r="EE48" s="43">
        <f t="shared" si="125"/>
        <v>48457</v>
      </c>
      <c r="EF48" s="43">
        <f t="shared" si="125"/>
        <v>48487</v>
      </c>
      <c r="EG48" s="43">
        <f t="shared" si="125"/>
        <v>48518</v>
      </c>
      <c r="EH48" s="43">
        <f t="shared" si="125"/>
        <v>48548</v>
      </c>
      <c r="EI48" s="43">
        <f t="shared" si="125"/>
        <v>48579</v>
      </c>
      <c r="EJ48" s="43">
        <f t="shared" si="125"/>
        <v>48610</v>
      </c>
      <c r="EK48" s="43">
        <f t="shared" si="125"/>
        <v>48638</v>
      </c>
      <c r="EL48" s="43">
        <f t="shared" si="125"/>
        <v>48669</v>
      </c>
      <c r="EM48" s="43">
        <f t="shared" si="125"/>
        <v>48699</v>
      </c>
      <c r="EN48" s="43">
        <f t="shared" si="125"/>
        <v>48730</v>
      </c>
      <c r="EO48" s="43">
        <f t="shared" si="125"/>
        <v>48760</v>
      </c>
      <c r="EP48" s="43">
        <f t="shared" si="125"/>
        <v>48791</v>
      </c>
      <c r="EQ48" s="43">
        <f t="shared" si="125"/>
        <v>48822</v>
      </c>
    </row>
    <row r="49" spans="1:147" s="43" customFormat="1" x14ac:dyDescent="0.3">
      <c r="A49" s="41" t="s">
        <v>128</v>
      </c>
      <c r="B49" s="42"/>
      <c r="C49" s="47">
        <f t="shared" ref="C49:AH49" si="126">C4-C34</f>
        <v>60134.091904761903</v>
      </c>
      <c r="D49" s="47">
        <f t="shared" si="126"/>
        <v>59342.853809523811</v>
      </c>
      <c r="E49" s="47">
        <f t="shared" si="126"/>
        <v>58551.615714285712</v>
      </c>
      <c r="F49" s="47">
        <f t="shared" si="126"/>
        <v>57760.37761904762</v>
      </c>
      <c r="G49" s="47">
        <f t="shared" si="126"/>
        <v>56969.139523809521</v>
      </c>
      <c r="H49" s="47">
        <f t="shared" si="126"/>
        <v>56177.901428571429</v>
      </c>
      <c r="I49" s="47">
        <f t="shared" si="126"/>
        <v>55386.66333333333</v>
      </c>
      <c r="J49" s="47">
        <f t="shared" si="126"/>
        <v>54595.425238095238</v>
      </c>
      <c r="K49" s="47">
        <f t="shared" si="126"/>
        <v>53804.187142857139</v>
      </c>
      <c r="L49" s="47">
        <f t="shared" si="126"/>
        <v>53012.949047619048</v>
      </c>
      <c r="M49" s="47">
        <f t="shared" si="126"/>
        <v>52221.710952380949</v>
      </c>
      <c r="N49" s="47">
        <f t="shared" si="126"/>
        <v>51430.472857142857</v>
      </c>
      <c r="O49" s="47">
        <f t="shared" si="126"/>
        <v>50639.234761904758</v>
      </c>
      <c r="P49" s="47">
        <f t="shared" si="126"/>
        <v>49847.996666666666</v>
      </c>
      <c r="Q49" s="47">
        <f t="shared" si="126"/>
        <v>49056.758571428567</v>
      </c>
      <c r="R49" s="47">
        <f t="shared" si="126"/>
        <v>48265.520476190475</v>
      </c>
      <c r="S49" s="47">
        <f t="shared" si="126"/>
        <v>47474.282380952383</v>
      </c>
      <c r="T49" s="47">
        <f t="shared" si="126"/>
        <v>46683.044285714284</v>
      </c>
      <c r="U49" s="47">
        <f t="shared" si="126"/>
        <v>45891.806190476185</v>
      </c>
      <c r="V49" s="47">
        <f t="shared" si="126"/>
        <v>45100.568095238094</v>
      </c>
      <c r="W49" s="47">
        <f t="shared" si="126"/>
        <v>44309.33</v>
      </c>
      <c r="X49" s="47">
        <f t="shared" si="126"/>
        <v>43518.091904761903</v>
      </c>
      <c r="Y49" s="47">
        <f t="shared" si="126"/>
        <v>42726.853809523804</v>
      </c>
      <c r="Z49" s="47">
        <f t="shared" si="126"/>
        <v>41935.615714285712</v>
      </c>
      <c r="AA49" s="47">
        <f t="shared" si="126"/>
        <v>41144.37761904762</v>
      </c>
      <c r="AB49" s="47">
        <f t="shared" si="126"/>
        <v>40353.139523809521</v>
      </c>
      <c r="AC49" s="47">
        <f t="shared" si="126"/>
        <v>39561.901428571422</v>
      </c>
      <c r="AD49" s="47">
        <f t="shared" si="126"/>
        <v>38770.66333333333</v>
      </c>
      <c r="AE49" s="47">
        <f t="shared" si="126"/>
        <v>37979.425238095238</v>
      </c>
      <c r="AF49" s="47">
        <f t="shared" si="126"/>
        <v>37188.187142857139</v>
      </c>
      <c r="AG49" s="47">
        <f t="shared" si="126"/>
        <v>36396.94904761904</v>
      </c>
      <c r="AH49" s="47">
        <f t="shared" si="126"/>
        <v>35605.710952380949</v>
      </c>
      <c r="AI49" s="47">
        <f t="shared" ref="AI49:BN49" si="127">AI4-AI34</f>
        <v>34814.472857142857</v>
      </c>
      <c r="AJ49" s="47">
        <f t="shared" si="127"/>
        <v>34023.234761904758</v>
      </c>
      <c r="AK49" s="47">
        <f t="shared" si="127"/>
        <v>33231.996666666666</v>
      </c>
      <c r="AL49" s="47">
        <f t="shared" si="127"/>
        <v>32440.758571428574</v>
      </c>
      <c r="AM49" s="47">
        <f t="shared" si="127"/>
        <v>31649.520476190482</v>
      </c>
      <c r="AN49" s="47">
        <f t="shared" si="127"/>
        <v>30858.282380952391</v>
      </c>
      <c r="AO49" s="47">
        <f t="shared" si="127"/>
        <v>30067.044285714299</v>
      </c>
      <c r="AP49" s="47">
        <f t="shared" si="127"/>
        <v>29275.806190476207</v>
      </c>
      <c r="AQ49" s="47">
        <f t="shared" si="127"/>
        <v>28484.568095238115</v>
      </c>
      <c r="AR49" s="203">
        <f t="shared" si="127"/>
        <v>27693.330000000024</v>
      </c>
      <c r="AS49" s="203">
        <f t="shared" si="127"/>
        <v>26902.091904761932</v>
      </c>
      <c r="AT49" s="203">
        <f t="shared" si="127"/>
        <v>26110.85380952384</v>
      </c>
      <c r="AU49" s="203">
        <f t="shared" si="127"/>
        <v>25319.615714285748</v>
      </c>
      <c r="AV49" s="203">
        <f t="shared" si="127"/>
        <v>24528.377619047656</v>
      </c>
      <c r="AW49" s="203">
        <f t="shared" si="127"/>
        <v>23737.139523809565</v>
      </c>
      <c r="AX49" s="203">
        <f t="shared" si="127"/>
        <v>22945.901428571473</v>
      </c>
      <c r="AY49" s="203">
        <f t="shared" si="127"/>
        <v>22154.663333333381</v>
      </c>
      <c r="AZ49" s="203">
        <f t="shared" si="127"/>
        <v>21363.425238095289</v>
      </c>
      <c r="BA49" s="203">
        <f t="shared" si="127"/>
        <v>20572.187142857198</v>
      </c>
      <c r="BB49" s="203">
        <f t="shared" si="127"/>
        <v>19780.949047619106</v>
      </c>
      <c r="BC49" s="203">
        <f t="shared" si="127"/>
        <v>18989.710952381014</v>
      </c>
      <c r="BD49" s="47">
        <f t="shared" si="127"/>
        <v>18198.472857142922</v>
      </c>
      <c r="BE49" s="47">
        <f t="shared" si="127"/>
        <v>17407.234761904831</v>
      </c>
      <c r="BF49" s="47">
        <f t="shared" si="127"/>
        <v>16615.996666666739</v>
      </c>
      <c r="BG49" s="47">
        <f t="shared" si="127"/>
        <v>15824.758571428647</v>
      </c>
      <c r="BH49" s="47">
        <f t="shared" si="127"/>
        <v>15033.520476190555</v>
      </c>
      <c r="BI49" s="47">
        <f t="shared" si="127"/>
        <v>14242.282380952463</v>
      </c>
      <c r="BJ49" s="47">
        <f t="shared" si="127"/>
        <v>13451.044285714372</v>
      </c>
      <c r="BK49" s="47">
        <f t="shared" si="127"/>
        <v>12659.80619047628</v>
      </c>
      <c r="BL49" s="47">
        <f t="shared" si="127"/>
        <v>11868.568095238188</v>
      </c>
      <c r="BM49" s="47">
        <f t="shared" si="127"/>
        <v>11077.330000000096</v>
      </c>
      <c r="BN49" s="47">
        <f t="shared" si="127"/>
        <v>10286.091904762005</v>
      </c>
      <c r="BO49" s="47">
        <f t="shared" ref="BO49:CT49" si="128">BO4-BO34</f>
        <v>9494.8538095239128</v>
      </c>
      <c r="BP49" s="47">
        <f t="shared" si="128"/>
        <v>8703.615714285821</v>
      </c>
      <c r="BQ49" s="47">
        <f t="shared" si="128"/>
        <v>7912.3776190477292</v>
      </c>
      <c r="BR49" s="47">
        <f t="shared" si="128"/>
        <v>7121.1395238096375</v>
      </c>
      <c r="BS49" s="47">
        <f t="shared" si="128"/>
        <v>6329.9014285715457</v>
      </c>
      <c r="BT49" s="47">
        <f t="shared" si="128"/>
        <v>5538.6633333334539</v>
      </c>
      <c r="BU49" s="47">
        <f t="shared" si="128"/>
        <v>4747.4252380953621</v>
      </c>
      <c r="BV49" s="47">
        <f t="shared" si="128"/>
        <v>3956.1871428572704</v>
      </c>
      <c r="BW49" s="47">
        <f t="shared" si="128"/>
        <v>3164.9490476191786</v>
      </c>
      <c r="BX49" s="47">
        <f t="shared" si="128"/>
        <v>2373.7109523810868</v>
      </c>
      <c r="BY49" s="47">
        <f t="shared" si="128"/>
        <v>1582.4728571429951</v>
      </c>
      <c r="BZ49" s="47">
        <f t="shared" si="128"/>
        <v>791.234761904896</v>
      </c>
      <c r="CA49" s="47">
        <f t="shared" si="128"/>
        <v>-3.333333195769228E-3</v>
      </c>
      <c r="CB49" s="47">
        <f t="shared" si="128"/>
        <v>-3.333333195769228E-3</v>
      </c>
      <c r="CC49" s="47">
        <f t="shared" si="128"/>
        <v>-3.333333195769228E-3</v>
      </c>
      <c r="CD49" s="47">
        <f t="shared" si="128"/>
        <v>-3.333333195769228E-3</v>
      </c>
      <c r="CE49" s="47">
        <f t="shared" si="128"/>
        <v>-3.333333195769228E-3</v>
      </c>
      <c r="CF49" s="47">
        <f t="shared" si="128"/>
        <v>-3.333333195769228E-3</v>
      </c>
      <c r="CG49" s="47">
        <f t="shared" si="128"/>
        <v>-3.333333195769228E-3</v>
      </c>
      <c r="CH49" s="47">
        <f t="shared" si="128"/>
        <v>-3.333333195769228E-3</v>
      </c>
      <c r="CI49" s="47">
        <f t="shared" si="128"/>
        <v>-3.333333195769228E-3</v>
      </c>
      <c r="CJ49" s="47">
        <f t="shared" si="128"/>
        <v>-3.333333195769228E-3</v>
      </c>
      <c r="CK49" s="47">
        <f t="shared" si="128"/>
        <v>-3.333333195769228E-3</v>
      </c>
      <c r="CL49" s="47">
        <f t="shared" si="128"/>
        <v>-3.333333195769228E-3</v>
      </c>
      <c r="CM49" s="47">
        <f t="shared" si="128"/>
        <v>-3.333333195769228E-3</v>
      </c>
      <c r="CN49" s="47">
        <f t="shared" si="128"/>
        <v>-3.333333195769228E-3</v>
      </c>
      <c r="CO49" s="47">
        <f t="shared" si="128"/>
        <v>-3.333333195769228E-3</v>
      </c>
      <c r="CP49" s="47">
        <f t="shared" si="128"/>
        <v>-3.333333195769228E-3</v>
      </c>
      <c r="CQ49" s="47">
        <f t="shared" si="128"/>
        <v>-3.333333195769228E-3</v>
      </c>
      <c r="CR49" s="47">
        <f t="shared" si="128"/>
        <v>-3.333333195769228E-3</v>
      </c>
      <c r="CS49" s="47">
        <f t="shared" si="128"/>
        <v>-3.333333195769228E-3</v>
      </c>
      <c r="CT49" s="47">
        <f t="shared" si="128"/>
        <v>-3.333333195769228E-3</v>
      </c>
      <c r="CU49" s="47">
        <f t="shared" ref="CU49:DZ49" si="129">CU4-CU34</f>
        <v>-3.333333195769228E-3</v>
      </c>
      <c r="CV49" s="47">
        <f t="shared" si="129"/>
        <v>-3.333333195769228E-3</v>
      </c>
      <c r="CW49" s="47">
        <f t="shared" si="129"/>
        <v>-3.333333195769228E-3</v>
      </c>
      <c r="CX49" s="47">
        <f t="shared" si="129"/>
        <v>-3.333333195769228E-3</v>
      </c>
      <c r="CY49" s="47">
        <f t="shared" si="129"/>
        <v>-3.333333195769228E-3</v>
      </c>
      <c r="CZ49" s="47">
        <f t="shared" si="129"/>
        <v>-3.333333195769228E-3</v>
      </c>
      <c r="DA49" s="47">
        <f t="shared" si="129"/>
        <v>-3.333333195769228E-3</v>
      </c>
      <c r="DB49" s="47">
        <f t="shared" si="129"/>
        <v>-3.333333195769228E-3</v>
      </c>
      <c r="DC49" s="47">
        <f t="shared" si="129"/>
        <v>-3.333333195769228E-3</v>
      </c>
      <c r="DD49" s="47">
        <f t="shared" si="129"/>
        <v>-3.333333195769228E-3</v>
      </c>
      <c r="DE49" s="47">
        <f t="shared" si="129"/>
        <v>-3.333333195769228E-3</v>
      </c>
      <c r="DF49" s="47">
        <f t="shared" si="129"/>
        <v>-3.333333195769228E-3</v>
      </c>
      <c r="DG49" s="47">
        <f t="shared" si="129"/>
        <v>-3.333333195769228E-3</v>
      </c>
      <c r="DH49" s="47">
        <f t="shared" si="129"/>
        <v>-3.333333195769228E-3</v>
      </c>
      <c r="DI49" s="47">
        <f t="shared" si="129"/>
        <v>-3.333333195769228E-3</v>
      </c>
      <c r="DJ49" s="47">
        <f t="shared" si="129"/>
        <v>-3.333333195769228E-3</v>
      </c>
      <c r="DK49" s="47">
        <f t="shared" si="129"/>
        <v>-3.333333195769228E-3</v>
      </c>
      <c r="DL49" s="47">
        <f t="shared" si="129"/>
        <v>-3.333333195769228E-3</v>
      </c>
      <c r="DM49" s="47">
        <f t="shared" si="129"/>
        <v>-3.333333195769228E-3</v>
      </c>
      <c r="DN49" s="47">
        <f t="shared" si="129"/>
        <v>-3.333333195769228E-3</v>
      </c>
      <c r="DO49" s="47">
        <f t="shared" si="129"/>
        <v>-3.333333195769228E-3</v>
      </c>
      <c r="DP49" s="47">
        <f t="shared" si="129"/>
        <v>-3.333333195769228E-3</v>
      </c>
      <c r="DQ49" s="47">
        <f t="shared" si="129"/>
        <v>-3.333333195769228E-3</v>
      </c>
      <c r="DR49" s="47">
        <f t="shared" si="129"/>
        <v>-3.333333195769228E-3</v>
      </c>
      <c r="DS49" s="47">
        <f t="shared" si="129"/>
        <v>-3.333333195769228E-3</v>
      </c>
      <c r="DT49" s="47">
        <f t="shared" si="129"/>
        <v>-3.333333195769228E-3</v>
      </c>
      <c r="DU49" s="47">
        <f t="shared" si="129"/>
        <v>-3.333333195769228E-3</v>
      </c>
      <c r="DV49" s="47">
        <f t="shared" si="129"/>
        <v>-3.333333195769228E-3</v>
      </c>
      <c r="DW49" s="47">
        <f t="shared" si="129"/>
        <v>-3.333333195769228E-3</v>
      </c>
      <c r="DX49" s="47">
        <f t="shared" si="129"/>
        <v>-3.333333195769228E-3</v>
      </c>
      <c r="DY49" s="47">
        <f t="shared" si="129"/>
        <v>-3.333333195769228E-3</v>
      </c>
      <c r="DZ49" s="47">
        <f t="shared" si="129"/>
        <v>-3.333333195769228E-3</v>
      </c>
      <c r="EA49" s="47">
        <f t="shared" ref="EA49:EQ49" si="130">EA4-EA34</f>
        <v>-3.333333195769228E-3</v>
      </c>
      <c r="EB49" s="47">
        <f t="shared" si="130"/>
        <v>-3.333333195769228E-3</v>
      </c>
      <c r="EC49" s="47">
        <f t="shared" si="130"/>
        <v>-3.333333195769228E-3</v>
      </c>
      <c r="ED49" s="47">
        <f t="shared" si="130"/>
        <v>-3.333333195769228E-3</v>
      </c>
      <c r="EE49" s="47">
        <f t="shared" si="130"/>
        <v>-3.333333195769228E-3</v>
      </c>
      <c r="EF49" s="47">
        <f t="shared" si="130"/>
        <v>-3.333333195769228E-3</v>
      </c>
      <c r="EG49" s="47">
        <f t="shared" si="130"/>
        <v>-3.333333195769228E-3</v>
      </c>
      <c r="EH49" s="47">
        <f t="shared" si="130"/>
        <v>-3.333333195769228E-3</v>
      </c>
      <c r="EI49" s="47">
        <f t="shared" si="130"/>
        <v>-3.333333195769228E-3</v>
      </c>
      <c r="EJ49" s="47">
        <f t="shared" si="130"/>
        <v>-3.333333195769228E-3</v>
      </c>
      <c r="EK49" s="47">
        <f t="shared" si="130"/>
        <v>-3.333333195769228E-3</v>
      </c>
      <c r="EL49" s="47">
        <f t="shared" si="130"/>
        <v>-3.333333195769228E-3</v>
      </c>
      <c r="EM49" s="47">
        <f t="shared" si="130"/>
        <v>-3.333333195769228E-3</v>
      </c>
      <c r="EN49" s="47">
        <f t="shared" si="130"/>
        <v>-3.333333195769228E-3</v>
      </c>
      <c r="EO49" s="47">
        <f t="shared" si="130"/>
        <v>-3.333333195769228E-3</v>
      </c>
      <c r="EP49" s="47">
        <f t="shared" si="130"/>
        <v>-3.333333195769228E-3</v>
      </c>
      <c r="EQ49" s="47">
        <f t="shared" si="130"/>
        <v>-3.333333195769228E-3</v>
      </c>
    </row>
    <row r="50" spans="1:147" s="43" customFormat="1" x14ac:dyDescent="0.3">
      <c r="A50" s="207" t="s">
        <v>129</v>
      </c>
      <c r="B50" s="42"/>
      <c r="C50" s="47">
        <f t="shared" ref="C50:AH50" si="131">C5-C35</f>
        <v>58809.53</v>
      </c>
      <c r="D50" s="47">
        <f t="shared" si="131"/>
        <v>58035.720476190472</v>
      </c>
      <c r="E50" s="47">
        <f t="shared" si="131"/>
        <v>57261.910952380953</v>
      </c>
      <c r="F50" s="47">
        <f t="shared" si="131"/>
        <v>56488.101428571426</v>
      </c>
      <c r="G50" s="47">
        <f t="shared" si="131"/>
        <v>55714.291904761907</v>
      </c>
      <c r="H50" s="47">
        <f t="shared" si="131"/>
        <v>54940.48238095238</v>
      </c>
      <c r="I50" s="47">
        <f t="shared" si="131"/>
        <v>54166.672857142854</v>
      </c>
      <c r="J50" s="47">
        <f t="shared" si="131"/>
        <v>53392.863333333335</v>
      </c>
      <c r="K50" s="47">
        <f t="shared" si="131"/>
        <v>52619.053809523815</v>
      </c>
      <c r="L50" s="47">
        <f t="shared" si="131"/>
        <v>51845.244285714289</v>
      </c>
      <c r="M50" s="47">
        <f t="shared" si="131"/>
        <v>51071.434761904762</v>
      </c>
      <c r="N50" s="47">
        <f t="shared" si="131"/>
        <v>50297.625238095243</v>
      </c>
      <c r="O50" s="47">
        <f t="shared" si="131"/>
        <v>49523.815714285724</v>
      </c>
      <c r="P50" s="47">
        <f t="shared" si="131"/>
        <v>48750.006190476197</v>
      </c>
      <c r="Q50" s="47">
        <f t="shared" si="131"/>
        <v>47976.19666666667</v>
      </c>
      <c r="R50" s="47">
        <f t="shared" si="131"/>
        <v>47202.387142857151</v>
      </c>
      <c r="S50" s="47">
        <f t="shared" si="131"/>
        <v>46428.577619047632</v>
      </c>
      <c r="T50" s="47">
        <f t="shared" si="131"/>
        <v>45654.768095238105</v>
      </c>
      <c r="U50" s="47">
        <f t="shared" si="131"/>
        <v>44880.958571428579</v>
      </c>
      <c r="V50" s="47">
        <f t="shared" si="131"/>
        <v>44107.149047619059</v>
      </c>
      <c r="W50" s="47">
        <f t="shared" si="131"/>
        <v>43333.33952380954</v>
      </c>
      <c r="X50" s="47">
        <f t="shared" si="131"/>
        <v>42559.530000000013</v>
      </c>
      <c r="Y50" s="47">
        <f t="shared" si="131"/>
        <v>41785.720476190487</v>
      </c>
      <c r="Z50" s="47">
        <f t="shared" si="131"/>
        <v>41011.910952380968</v>
      </c>
      <c r="AA50" s="47">
        <f t="shared" si="131"/>
        <v>40238.101428571448</v>
      </c>
      <c r="AB50" s="47">
        <f t="shared" si="131"/>
        <v>39464.291904761922</v>
      </c>
      <c r="AC50" s="47">
        <f t="shared" si="131"/>
        <v>38690.482380952395</v>
      </c>
      <c r="AD50" s="47">
        <f t="shared" si="131"/>
        <v>37916.672857142876</v>
      </c>
      <c r="AE50" s="47">
        <f t="shared" si="131"/>
        <v>37142.863333333356</v>
      </c>
      <c r="AF50" s="47">
        <f t="shared" si="131"/>
        <v>36369.05380952383</v>
      </c>
      <c r="AG50" s="47">
        <f t="shared" si="131"/>
        <v>35595.244285714303</v>
      </c>
      <c r="AH50" s="47">
        <f t="shared" si="131"/>
        <v>34821.434761904784</v>
      </c>
      <c r="AI50" s="47">
        <f t="shared" ref="AI50:BN50" si="132">AI5-AI35</f>
        <v>34047.625238095265</v>
      </c>
      <c r="AJ50" s="47">
        <f t="shared" si="132"/>
        <v>33273.815714285738</v>
      </c>
      <c r="AK50" s="47">
        <f t="shared" si="132"/>
        <v>0</v>
      </c>
      <c r="AL50" s="47">
        <f t="shared" si="132"/>
        <v>0</v>
      </c>
      <c r="AM50" s="47">
        <f t="shared" si="132"/>
        <v>0</v>
      </c>
      <c r="AN50" s="47">
        <f t="shared" si="132"/>
        <v>0</v>
      </c>
      <c r="AO50" s="47">
        <f t="shared" si="132"/>
        <v>0</v>
      </c>
      <c r="AP50" s="47">
        <f t="shared" si="132"/>
        <v>0</v>
      </c>
      <c r="AQ50" s="47">
        <f t="shared" si="132"/>
        <v>0</v>
      </c>
      <c r="AR50" s="203">
        <f t="shared" si="132"/>
        <v>0</v>
      </c>
      <c r="AS50" s="203">
        <f t="shared" si="132"/>
        <v>0</v>
      </c>
      <c r="AT50" s="203">
        <f t="shared" si="132"/>
        <v>0</v>
      </c>
      <c r="AU50" s="203">
        <f t="shared" si="132"/>
        <v>0</v>
      </c>
      <c r="AV50" s="203">
        <f t="shared" si="132"/>
        <v>0</v>
      </c>
      <c r="AW50" s="203">
        <f t="shared" si="132"/>
        <v>0</v>
      </c>
      <c r="AX50" s="203">
        <f t="shared" si="132"/>
        <v>0</v>
      </c>
      <c r="AY50" s="203">
        <f t="shared" si="132"/>
        <v>0</v>
      </c>
      <c r="AZ50" s="203">
        <f t="shared" si="132"/>
        <v>0</v>
      </c>
      <c r="BA50" s="203">
        <f t="shared" si="132"/>
        <v>0</v>
      </c>
      <c r="BB50" s="203">
        <f t="shared" si="132"/>
        <v>0</v>
      </c>
      <c r="BC50" s="203">
        <f t="shared" si="132"/>
        <v>0</v>
      </c>
      <c r="BD50" s="47">
        <f t="shared" si="132"/>
        <v>0</v>
      </c>
      <c r="BE50" s="47">
        <f t="shared" si="132"/>
        <v>0</v>
      </c>
      <c r="BF50" s="47">
        <f t="shared" si="132"/>
        <v>0</v>
      </c>
      <c r="BG50" s="47">
        <f t="shared" si="132"/>
        <v>0</v>
      </c>
      <c r="BH50" s="47">
        <f t="shared" si="132"/>
        <v>0</v>
      </c>
      <c r="BI50" s="47">
        <f t="shared" si="132"/>
        <v>0</v>
      </c>
      <c r="BJ50" s="47">
        <f t="shared" si="132"/>
        <v>0</v>
      </c>
      <c r="BK50" s="47">
        <f t="shared" si="132"/>
        <v>0</v>
      </c>
      <c r="BL50" s="47">
        <f t="shared" si="132"/>
        <v>0</v>
      </c>
      <c r="BM50" s="47">
        <f t="shared" si="132"/>
        <v>0</v>
      </c>
      <c r="BN50" s="47">
        <f t="shared" si="132"/>
        <v>0</v>
      </c>
      <c r="BO50" s="47">
        <f t="shared" ref="BO50:CT50" si="133">BO5-BO35</f>
        <v>0</v>
      </c>
      <c r="BP50" s="47">
        <f t="shared" si="133"/>
        <v>0</v>
      </c>
      <c r="BQ50" s="47">
        <f t="shared" si="133"/>
        <v>0</v>
      </c>
      <c r="BR50" s="47">
        <f t="shared" si="133"/>
        <v>0</v>
      </c>
      <c r="BS50" s="47">
        <f t="shared" si="133"/>
        <v>0</v>
      </c>
      <c r="BT50" s="47">
        <f t="shared" si="133"/>
        <v>0</v>
      </c>
      <c r="BU50" s="47">
        <f t="shared" si="133"/>
        <v>0</v>
      </c>
      <c r="BV50" s="47">
        <f t="shared" si="133"/>
        <v>0</v>
      </c>
      <c r="BW50" s="47">
        <f t="shared" si="133"/>
        <v>0</v>
      </c>
      <c r="BX50" s="47">
        <f t="shared" si="133"/>
        <v>0</v>
      </c>
      <c r="BY50" s="47">
        <f t="shared" si="133"/>
        <v>0</v>
      </c>
      <c r="BZ50" s="47">
        <f t="shared" si="133"/>
        <v>0</v>
      </c>
      <c r="CA50" s="47">
        <f t="shared" si="133"/>
        <v>0</v>
      </c>
      <c r="CB50" s="47">
        <f t="shared" si="133"/>
        <v>0</v>
      </c>
      <c r="CC50" s="47">
        <f t="shared" si="133"/>
        <v>0</v>
      </c>
      <c r="CD50" s="47">
        <f t="shared" si="133"/>
        <v>0</v>
      </c>
      <c r="CE50" s="47">
        <f t="shared" si="133"/>
        <v>0</v>
      </c>
      <c r="CF50" s="47">
        <f t="shared" si="133"/>
        <v>0</v>
      </c>
      <c r="CG50" s="47">
        <f t="shared" si="133"/>
        <v>0</v>
      </c>
      <c r="CH50" s="47">
        <f t="shared" si="133"/>
        <v>0</v>
      </c>
      <c r="CI50" s="47">
        <f t="shared" si="133"/>
        <v>0</v>
      </c>
      <c r="CJ50" s="47">
        <f t="shared" si="133"/>
        <v>0</v>
      </c>
      <c r="CK50" s="47">
        <f t="shared" si="133"/>
        <v>0</v>
      </c>
      <c r="CL50" s="47">
        <f t="shared" si="133"/>
        <v>0</v>
      </c>
      <c r="CM50" s="47">
        <f t="shared" si="133"/>
        <v>0</v>
      </c>
      <c r="CN50" s="47">
        <f t="shared" si="133"/>
        <v>0</v>
      </c>
      <c r="CO50" s="47">
        <f t="shared" si="133"/>
        <v>0</v>
      </c>
      <c r="CP50" s="47">
        <f t="shared" si="133"/>
        <v>0</v>
      </c>
      <c r="CQ50" s="47">
        <f t="shared" si="133"/>
        <v>0</v>
      </c>
      <c r="CR50" s="47">
        <f t="shared" si="133"/>
        <v>0</v>
      </c>
      <c r="CS50" s="47">
        <f t="shared" si="133"/>
        <v>0</v>
      </c>
      <c r="CT50" s="47">
        <f t="shared" si="133"/>
        <v>0</v>
      </c>
      <c r="CU50" s="47">
        <f t="shared" ref="CU50:DZ50" si="134">CU5-CU35</f>
        <v>0</v>
      </c>
      <c r="CV50" s="47">
        <f t="shared" si="134"/>
        <v>0</v>
      </c>
      <c r="CW50" s="47">
        <f t="shared" si="134"/>
        <v>0</v>
      </c>
      <c r="CX50" s="47">
        <f t="shared" si="134"/>
        <v>0</v>
      </c>
      <c r="CY50" s="47">
        <f t="shared" si="134"/>
        <v>0</v>
      </c>
      <c r="CZ50" s="47">
        <f t="shared" si="134"/>
        <v>0</v>
      </c>
      <c r="DA50" s="47">
        <f t="shared" si="134"/>
        <v>0</v>
      </c>
      <c r="DB50" s="47">
        <f t="shared" si="134"/>
        <v>0</v>
      </c>
      <c r="DC50" s="47">
        <f t="shared" si="134"/>
        <v>0</v>
      </c>
      <c r="DD50" s="47">
        <f t="shared" si="134"/>
        <v>0</v>
      </c>
      <c r="DE50" s="47">
        <f t="shared" si="134"/>
        <v>0</v>
      </c>
      <c r="DF50" s="47">
        <f t="shared" si="134"/>
        <v>0</v>
      </c>
      <c r="DG50" s="47">
        <f t="shared" si="134"/>
        <v>0</v>
      </c>
      <c r="DH50" s="47">
        <f t="shared" si="134"/>
        <v>0</v>
      </c>
      <c r="DI50" s="47">
        <f t="shared" si="134"/>
        <v>0</v>
      </c>
      <c r="DJ50" s="47">
        <f t="shared" si="134"/>
        <v>0</v>
      </c>
      <c r="DK50" s="47">
        <f t="shared" si="134"/>
        <v>0</v>
      </c>
      <c r="DL50" s="47">
        <f t="shared" si="134"/>
        <v>0</v>
      </c>
      <c r="DM50" s="47">
        <f t="shared" si="134"/>
        <v>0</v>
      </c>
      <c r="DN50" s="47">
        <f t="shared" si="134"/>
        <v>0</v>
      </c>
      <c r="DO50" s="47">
        <f t="shared" si="134"/>
        <v>0</v>
      </c>
      <c r="DP50" s="47">
        <f t="shared" si="134"/>
        <v>0</v>
      </c>
      <c r="DQ50" s="47">
        <f t="shared" si="134"/>
        <v>0</v>
      </c>
      <c r="DR50" s="47">
        <f t="shared" si="134"/>
        <v>0</v>
      </c>
      <c r="DS50" s="47">
        <f t="shared" si="134"/>
        <v>0</v>
      </c>
      <c r="DT50" s="47">
        <f t="shared" si="134"/>
        <v>0</v>
      </c>
      <c r="DU50" s="47">
        <f t="shared" si="134"/>
        <v>0</v>
      </c>
      <c r="DV50" s="47">
        <f t="shared" si="134"/>
        <v>0</v>
      </c>
      <c r="DW50" s="47">
        <f t="shared" si="134"/>
        <v>0</v>
      </c>
      <c r="DX50" s="47">
        <f t="shared" si="134"/>
        <v>0</v>
      </c>
      <c r="DY50" s="47">
        <f t="shared" si="134"/>
        <v>0</v>
      </c>
      <c r="DZ50" s="47">
        <f t="shared" si="134"/>
        <v>0</v>
      </c>
      <c r="EA50" s="47">
        <f t="shared" ref="EA50:EQ50" si="135">EA5-EA35</f>
        <v>0</v>
      </c>
      <c r="EB50" s="47">
        <f t="shared" si="135"/>
        <v>0</v>
      </c>
      <c r="EC50" s="47">
        <f t="shared" si="135"/>
        <v>0</v>
      </c>
      <c r="ED50" s="47">
        <f t="shared" si="135"/>
        <v>0</v>
      </c>
      <c r="EE50" s="47">
        <f t="shared" si="135"/>
        <v>0</v>
      </c>
      <c r="EF50" s="47">
        <f t="shared" si="135"/>
        <v>0</v>
      </c>
      <c r="EG50" s="47">
        <f t="shared" si="135"/>
        <v>0</v>
      </c>
      <c r="EH50" s="47">
        <f t="shared" si="135"/>
        <v>0</v>
      </c>
      <c r="EI50" s="47">
        <f t="shared" si="135"/>
        <v>0</v>
      </c>
      <c r="EJ50" s="47">
        <f t="shared" si="135"/>
        <v>0</v>
      </c>
      <c r="EK50" s="47">
        <f t="shared" si="135"/>
        <v>0</v>
      </c>
      <c r="EL50" s="47">
        <f t="shared" si="135"/>
        <v>0</v>
      </c>
      <c r="EM50" s="47">
        <f t="shared" si="135"/>
        <v>0</v>
      </c>
      <c r="EN50" s="47">
        <f t="shared" si="135"/>
        <v>0</v>
      </c>
      <c r="EO50" s="47">
        <f t="shared" si="135"/>
        <v>0</v>
      </c>
      <c r="EP50" s="47">
        <f t="shared" si="135"/>
        <v>0</v>
      </c>
      <c r="EQ50" s="47">
        <f t="shared" si="135"/>
        <v>0</v>
      </c>
    </row>
    <row r="51" spans="1:147" x14ac:dyDescent="0.3">
      <c r="A51" s="41" t="s">
        <v>130</v>
      </c>
      <c r="C51" s="47">
        <f t="shared" ref="C51:AH51" si="136">C6-C36</f>
        <v>0</v>
      </c>
      <c r="D51" s="47">
        <f t="shared" si="136"/>
        <v>0</v>
      </c>
      <c r="E51" s="47">
        <f t="shared" si="136"/>
        <v>0</v>
      </c>
      <c r="F51" s="47">
        <f t="shared" si="136"/>
        <v>0</v>
      </c>
      <c r="G51" s="47">
        <f t="shared" si="136"/>
        <v>0</v>
      </c>
      <c r="H51" s="47">
        <f t="shared" si="136"/>
        <v>148214.28571428571</v>
      </c>
      <c r="I51" s="47">
        <f t="shared" si="136"/>
        <v>146428.57142857142</v>
      </c>
      <c r="J51" s="47">
        <f t="shared" si="136"/>
        <v>144642.85714285713</v>
      </c>
      <c r="K51" s="47">
        <f t="shared" si="136"/>
        <v>142857.14285714287</v>
      </c>
      <c r="L51" s="47">
        <f t="shared" si="136"/>
        <v>141071.42857142858</v>
      </c>
      <c r="M51" s="47">
        <f t="shared" si="136"/>
        <v>139285.71428571429</v>
      </c>
      <c r="N51" s="47">
        <f t="shared" si="136"/>
        <v>137500</v>
      </c>
      <c r="O51" s="47">
        <f t="shared" si="136"/>
        <v>135714.28571428571</v>
      </c>
      <c r="P51" s="47">
        <f t="shared" si="136"/>
        <v>133928.57142857142</v>
      </c>
      <c r="Q51" s="47">
        <f t="shared" si="136"/>
        <v>132142.85714285713</v>
      </c>
      <c r="R51" s="47">
        <f t="shared" si="136"/>
        <v>130357.14285714286</v>
      </c>
      <c r="S51" s="47">
        <f t="shared" si="136"/>
        <v>128571.42857142857</v>
      </c>
      <c r="T51" s="47">
        <f t="shared" si="136"/>
        <v>126785.71428571429</v>
      </c>
      <c r="U51" s="47">
        <f t="shared" si="136"/>
        <v>96800.053809523801</v>
      </c>
      <c r="V51" s="47">
        <f t="shared" si="136"/>
        <v>95396.113333333327</v>
      </c>
      <c r="W51" s="47">
        <f t="shared" si="136"/>
        <v>93992.172857142854</v>
      </c>
      <c r="X51" s="47">
        <f t="shared" si="136"/>
        <v>72011.445238095228</v>
      </c>
      <c r="Y51" s="47">
        <f t="shared" si="136"/>
        <v>70936.64761904761</v>
      </c>
      <c r="Z51" s="47">
        <f t="shared" si="136"/>
        <v>69861.849999999991</v>
      </c>
      <c r="AA51" s="47">
        <f t="shared" si="136"/>
        <v>68787.052380952373</v>
      </c>
      <c r="AB51" s="47">
        <f t="shared" si="136"/>
        <v>67712.254761904755</v>
      </c>
      <c r="AC51" s="47">
        <f t="shared" si="136"/>
        <v>66637.457142857136</v>
      </c>
      <c r="AD51" s="47">
        <f t="shared" si="136"/>
        <v>65562.659523809518</v>
      </c>
      <c r="AE51" s="47">
        <f t="shared" si="136"/>
        <v>64487.861904761899</v>
      </c>
      <c r="AF51" s="47">
        <f t="shared" si="136"/>
        <v>63413.064285714281</v>
      </c>
      <c r="AG51" s="47">
        <f t="shared" si="136"/>
        <v>62338.266666666663</v>
      </c>
      <c r="AH51" s="47">
        <f t="shared" si="136"/>
        <v>61263.469047619044</v>
      </c>
      <c r="AI51" s="47">
        <f t="shared" ref="AI51:BN51" si="137">AI6-AI36</f>
        <v>60188.671428571426</v>
      </c>
      <c r="AJ51" s="47">
        <f t="shared" si="137"/>
        <v>59113.873809523808</v>
      </c>
      <c r="AK51" s="47">
        <f t="shared" si="137"/>
        <v>58039.076190476189</v>
      </c>
      <c r="AL51" s="47">
        <f t="shared" si="137"/>
        <v>56964.278571428571</v>
      </c>
      <c r="AM51" s="47">
        <f t="shared" si="137"/>
        <v>55889.480952380953</v>
      </c>
      <c r="AN51" s="47">
        <f t="shared" si="137"/>
        <v>54814.683333333334</v>
      </c>
      <c r="AO51" s="47">
        <f t="shared" si="137"/>
        <v>53739.885714285716</v>
      </c>
      <c r="AP51" s="47">
        <f t="shared" si="137"/>
        <v>39794.825714285718</v>
      </c>
      <c r="AQ51" s="47">
        <f t="shared" si="137"/>
        <v>38892.005714285711</v>
      </c>
      <c r="AR51" s="203">
        <f t="shared" si="137"/>
        <v>37989.185714285719</v>
      </c>
      <c r="AS51" s="203">
        <f t="shared" si="137"/>
        <v>37086.365714285712</v>
      </c>
      <c r="AT51" s="203">
        <f t="shared" si="137"/>
        <v>36183.545714285719</v>
      </c>
      <c r="AU51" s="203">
        <f t="shared" si="137"/>
        <v>35280.725714285712</v>
      </c>
      <c r="AV51" s="203">
        <f t="shared" si="137"/>
        <v>34377.905714285713</v>
      </c>
      <c r="AW51" s="203">
        <f t="shared" si="137"/>
        <v>33475.085714285713</v>
      </c>
      <c r="AX51" s="203">
        <f t="shared" si="137"/>
        <v>32572.265714285713</v>
      </c>
      <c r="AY51" s="203">
        <f t="shared" si="137"/>
        <v>31669.445714285714</v>
      </c>
      <c r="AZ51" s="203">
        <f t="shared" si="137"/>
        <v>30766.625714285714</v>
      </c>
      <c r="BA51" s="203">
        <f t="shared" si="137"/>
        <v>29863.805714285714</v>
      </c>
      <c r="BB51" s="203">
        <f t="shared" si="137"/>
        <v>28960.985714285714</v>
      </c>
      <c r="BC51" s="203">
        <f t="shared" si="137"/>
        <v>28058.165714285715</v>
      </c>
      <c r="BD51" s="47">
        <f t="shared" si="137"/>
        <v>27155.345714285715</v>
      </c>
      <c r="BE51" s="47">
        <f t="shared" si="137"/>
        <v>26252.525714285715</v>
      </c>
      <c r="BF51" s="47">
        <f t="shared" si="137"/>
        <v>25349.705714285716</v>
      </c>
      <c r="BG51" s="47">
        <f t="shared" si="137"/>
        <v>24446.885714285716</v>
      </c>
      <c r="BH51" s="47">
        <f t="shared" si="137"/>
        <v>23544.065714285716</v>
      </c>
      <c r="BI51" s="47">
        <f t="shared" si="137"/>
        <v>22641.245714285717</v>
      </c>
      <c r="BJ51" s="47">
        <f t="shared" si="137"/>
        <v>21738.425714285717</v>
      </c>
      <c r="BK51" s="47">
        <f t="shared" si="137"/>
        <v>20835.605714285717</v>
      </c>
      <c r="BL51" s="47">
        <f t="shared" si="137"/>
        <v>19932.785714285717</v>
      </c>
      <c r="BM51" s="47">
        <f t="shared" si="137"/>
        <v>19029.965714285718</v>
      </c>
      <c r="BN51" s="47">
        <f t="shared" si="137"/>
        <v>18127.145714285718</v>
      </c>
      <c r="BO51" s="47">
        <f t="shared" ref="BO51:CT51" si="138">BO6-BO36</f>
        <v>17224.325714285718</v>
      </c>
      <c r="BP51" s="47">
        <f t="shared" si="138"/>
        <v>16321.505714285719</v>
      </c>
      <c r="BQ51" s="47">
        <f t="shared" si="138"/>
        <v>15418.685714285719</v>
      </c>
      <c r="BR51" s="47">
        <f t="shared" si="138"/>
        <v>14515.865714285719</v>
      </c>
      <c r="BS51" s="47">
        <f t="shared" si="138"/>
        <v>13613.045714285719</v>
      </c>
      <c r="BT51" s="47">
        <f t="shared" si="138"/>
        <v>12710.22571428572</v>
      </c>
      <c r="BU51" s="47">
        <f t="shared" si="138"/>
        <v>11807.40571428572</v>
      </c>
      <c r="BV51" s="47">
        <f t="shared" si="138"/>
        <v>10904.58571428572</v>
      </c>
      <c r="BW51" s="47">
        <f t="shared" si="138"/>
        <v>10001.765714285721</v>
      </c>
      <c r="BX51" s="47">
        <f t="shared" si="138"/>
        <v>9098.9457142857209</v>
      </c>
      <c r="BY51" s="47">
        <f t="shared" si="138"/>
        <v>8196.1257142857212</v>
      </c>
      <c r="BZ51" s="47">
        <f t="shared" si="138"/>
        <v>7293.3057142857215</v>
      </c>
      <c r="CA51" s="47">
        <f t="shared" si="138"/>
        <v>6390.4857142857218</v>
      </c>
      <c r="CB51" s="47">
        <f t="shared" si="138"/>
        <v>5487.6657142857221</v>
      </c>
      <c r="CC51" s="47">
        <f t="shared" si="138"/>
        <v>4584.8457142857224</v>
      </c>
      <c r="CD51" s="47">
        <f t="shared" si="138"/>
        <v>3682.0257142857226</v>
      </c>
      <c r="CE51" s="47">
        <f t="shared" si="138"/>
        <v>2779.2057142857229</v>
      </c>
      <c r="CF51" s="47">
        <f t="shared" si="138"/>
        <v>1876.3857142857159</v>
      </c>
      <c r="CG51" s="47">
        <f t="shared" si="138"/>
        <v>973.56571428570896</v>
      </c>
      <c r="CH51" s="47">
        <f t="shared" si="138"/>
        <v>70.745714285701979</v>
      </c>
      <c r="CI51" s="47">
        <f t="shared" si="138"/>
        <v>-832.07428571430501</v>
      </c>
      <c r="CJ51" s="47">
        <f t="shared" si="138"/>
        <v>-1734.894285714312</v>
      </c>
      <c r="CK51" s="47">
        <f t="shared" si="138"/>
        <v>-2637.714285714319</v>
      </c>
      <c r="CL51" s="47">
        <f t="shared" si="138"/>
        <v>-3540.534285714326</v>
      </c>
      <c r="CM51" s="47">
        <f t="shared" si="138"/>
        <v>-4443.3542857143329</v>
      </c>
      <c r="CN51" s="47">
        <f t="shared" si="138"/>
        <v>-4443.3542857143329</v>
      </c>
      <c r="CO51" s="47">
        <f t="shared" si="138"/>
        <v>-4443.3542857143329</v>
      </c>
      <c r="CP51" s="47">
        <f t="shared" si="138"/>
        <v>-4443.3542857143329</v>
      </c>
      <c r="CQ51" s="47">
        <f t="shared" si="138"/>
        <v>-4443.3542857143329</v>
      </c>
      <c r="CR51" s="47">
        <f t="shared" si="138"/>
        <v>-4443.3542857143329</v>
      </c>
      <c r="CS51" s="47">
        <f t="shared" si="138"/>
        <v>-4443.3542857143329</v>
      </c>
      <c r="CT51" s="47">
        <f t="shared" si="138"/>
        <v>-4443.3542857143329</v>
      </c>
      <c r="CU51" s="47">
        <f t="shared" ref="CU51:DZ51" si="139">CU6-CU36</f>
        <v>-4443.3542857143329</v>
      </c>
      <c r="CV51" s="47">
        <f t="shared" si="139"/>
        <v>-4443.3542857143329</v>
      </c>
      <c r="CW51" s="47">
        <f t="shared" si="139"/>
        <v>-4443.3542857143329</v>
      </c>
      <c r="CX51" s="47">
        <f t="shared" si="139"/>
        <v>-4443.3542857143329</v>
      </c>
      <c r="CY51" s="47">
        <f t="shared" si="139"/>
        <v>-4443.3542857143329</v>
      </c>
      <c r="CZ51" s="47">
        <f t="shared" si="139"/>
        <v>-4443.3542857143329</v>
      </c>
      <c r="DA51" s="47">
        <f t="shared" si="139"/>
        <v>-4443.3542857143329</v>
      </c>
      <c r="DB51" s="47">
        <f t="shared" si="139"/>
        <v>-4443.3542857143329</v>
      </c>
      <c r="DC51" s="47">
        <f t="shared" si="139"/>
        <v>-4443.3542857143329</v>
      </c>
      <c r="DD51" s="47">
        <f t="shared" si="139"/>
        <v>-4443.3542857143329</v>
      </c>
      <c r="DE51" s="47">
        <f t="shared" si="139"/>
        <v>-4443.3542857143329</v>
      </c>
      <c r="DF51" s="47">
        <f t="shared" si="139"/>
        <v>-4443.3542857143329</v>
      </c>
      <c r="DG51" s="47">
        <f t="shared" si="139"/>
        <v>-4443.3542857143329</v>
      </c>
      <c r="DH51" s="47">
        <f t="shared" si="139"/>
        <v>-4443.3542857143329</v>
      </c>
      <c r="DI51" s="47">
        <f t="shared" si="139"/>
        <v>-4443.3542857143329</v>
      </c>
      <c r="DJ51" s="47">
        <f t="shared" si="139"/>
        <v>-4443.3542857143329</v>
      </c>
      <c r="DK51" s="47">
        <f t="shared" si="139"/>
        <v>-4443.3542857143329</v>
      </c>
      <c r="DL51" s="47">
        <f t="shared" si="139"/>
        <v>-4443.3542857143329</v>
      </c>
      <c r="DM51" s="47">
        <f t="shared" si="139"/>
        <v>-4443.3542857143329</v>
      </c>
      <c r="DN51" s="47">
        <f t="shared" si="139"/>
        <v>-4443.3542857143329</v>
      </c>
      <c r="DO51" s="47">
        <f t="shared" si="139"/>
        <v>-4443.3542857143329</v>
      </c>
      <c r="DP51" s="47">
        <f t="shared" si="139"/>
        <v>-4443.3542857143329</v>
      </c>
      <c r="DQ51" s="47">
        <f t="shared" si="139"/>
        <v>-4443.3542857143329</v>
      </c>
      <c r="DR51" s="47">
        <f t="shared" si="139"/>
        <v>-4443.3542857143329</v>
      </c>
      <c r="DS51" s="47">
        <f t="shared" si="139"/>
        <v>-4443.3542857143329</v>
      </c>
      <c r="DT51" s="47">
        <f t="shared" si="139"/>
        <v>-4443.3542857143329</v>
      </c>
      <c r="DU51" s="47">
        <f t="shared" si="139"/>
        <v>-4443.3542857143329</v>
      </c>
      <c r="DV51" s="47">
        <f t="shared" si="139"/>
        <v>-4443.3542857143329</v>
      </c>
      <c r="DW51" s="47">
        <f t="shared" si="139"/>
        <v>-4443.3542857143329</v>
      </c>
      <c r="DX51" s="47">
        <f t="shared" si="139"/>
        <v>-4443.3542857143329</v>
      </c>
      <c r="DY51" s="47">
        <f t="shared" si="139"/>
        <v>-4443.3542857143329</v>
      </c>
      <c r="DZ51" s="47">
        <f t="shared" si="139"/>
        <v>-4443.3542857143329</v>
      </c>
      <c r="EA51" s="47">
        <f t="shared" ref="EA51:EQ51" si="140">EA6-EA36</f>
        <v>-4443.3542857143329</v>
      </c>
      <c r="EB51" s="47">
        <f t="shared" si="140"/>
        <v>-4443.3542857143329</v>
      </c>
      <c r="EC51" s="47">
        <f t="shared" si="140"/>
        <v>-4443.3542857143329</v>
      </c>
      <c r="ED51" s="47">
        <f t="shared" si="140"/>
        <v>-4443.3542857143329</v>
      </c>
      <c r="EE51" s="47">
        <f t="shared" si="140"/>
        <v>-4443.3542857143329</v>
      </c>
      <c r="EF51" s="47">
        <f t="shared" si="140"/>
        <v>-4443.3542857143329</v>
      </c>
      <c r="EG51" s="47">
        <f t="shared" si="140"/>
        <v>-4443.3542857143329</v>
      </c>
      <c r="EH51" s="47">
        <f t="shared" si="140"/>
        <v>-4443.3542857143329</v>
      </c>
      <c r="EI51" s="47">
        <f t="shared" si="140"/>
        <v>-4443.3542857143329</v>
      </c>
      <c r="EJ51" s="47">
        <f t="shared" si="140"/>
        <v>-4443.3542857143329</v>
      </c>
      <c r="EK51" s="47">
        <f t="shared" si="140"/>
        <v>-4443.3542857143329</v>
      </c>
      <c r="EL51" s="47">
        <f t="shared" si="140"/>
        <v>-4443.3542857143329</v>
      </c>
      <c r="EM51" s="47">
        <f t="shared" si="140"/>
        <v>-4443.3542857143329</v>
      </c>
      <c r="EN51" s="47">
        <f t="shared" si="140"/>
        <v>-4443.3542857143329</v>
      </c>
      <c r="EO51" s="47">
        <f t="shared" si="140"/>
        <v>-4443.3542857143329</v>
      </c>
      <c r="EP51" s="47">
        <f t="shared" si="140"/>
        <v>-4443.3542857143329</v>
      </c>
      <c r="EQ51" s="47">
        <f t="shared" si="140"/>
        <v>-4443.3542857143329</v>
      </c>
    </row>
    <row r="52" spans="1:147" x14ac:dyDescent="0.3">
      <c r="A52" s="41" t="s">
        <v>127</v>
      </c>
      <c r="C52" s="47">
        <f t="shared" ref="C52:AH52" si="141">C7-C37</f>
        <v>0</v>
      </c>
      <c r="D52" s="47">
        <f t="shared" si="141"/>
        <v>0</v>
      </c>
      <c r="E52" s="47">
        <f t="shared" si="141"/>
        <v>0</v>
      </c>
      <c r="F52" s="47">
        <f t="shared" si="141"/>
        <v>0</v>
      </c>
      <c r="G52" s="47">
        <f t="shared" si="141"/>
        <v>0</v>
      </c>
      <c r="H52" s="47">
        <f t="shared" si="141"/>
        <v>0</v>
      </c>
      <c r="I52" s="47">
        <f t="shared" si="141"/>
        <v>260850.00880952383</v>
      </c>
      <c r="J52" s="47">
        <f t="shared" si="141"/>
        <v>257707.23761904764</v>
      </c>
      <c r="K52" s="47">
        <f t="shared" si="141"/>
        <v>254564.46642857147</v>
      </c>
      <c r="L52" s="47">
        <f t="shared" si="141"/>
        <v>251421.69523809527</v>
      </c>
      <c r="M52" s="47">
        <f t="shared" si="141"/>
        <v>248278.92404761908</v>
      </c>
      <c r="N52" s="47">
        <f t="shared" si="141"/>
        <v>245136.15285714288</v>
      </c>
      <c r="O52" s="47">
        <f t="shared" si="141"/>
        <v>241993.38166666668</v>
      </c>
      <c r="P52" s="47">
        <f t="shared" si="141"/>
        <v>238850.61047619052</v>
      </c>
      <c r="Q52" s="47">
        <f t="shared" si="141"/>
        <v>235707.83928571432</v>
      </c>
      <c r="R52" s="47">
        <f t="shared" si="141"/>
        <v>232565.06809523812</v>
      </c>
      <c r="S52" s="47">
        <f t="shared" si="141"/>
        <v>229422.29690476193</v>
      </c>
      <c r="T52" s="47">
        <f t="shared" si="141"/>
        <v>226279.52571428573</v>
      </c>
      <c r="U52" s="47">
        <f t="shared" si="141"/>
        <v>223136.75452380956</v>
      </c>
      <c r="V52" s="47">
        <f t="shared" si="141"/>
        <v>219993.98333333337</v>
      </c>
      <c r="W52" s="47">
        <f t="shared" si="141"/>
        <v>216851.21214285717</v>
      </c>
      <c r="X52" s="47">
        <f t="shared" si="141"/>
        <v>213708.440952381</v>
      </c>
      <c r="Y52" s="47">
        <f t="shared" si="141"/>
        <v>210565.66976190481</v>
      </c>
      <c r="Z52" s="47">
        <f t="shared" si="141"/>
        <v>207422.89857142861</v>
      </c>
      <c r="AA52" s="47">
        <f t="shared" si="141"/>
        <v>204280.12738095241</v>
      </c>
      <c r="AB52" s="47">
        <f t="shared" si="141"/>
        <v>201137.35619047622</v>
      </c>
      <c r="AC52" s="47">
        <f t="shared" si="141"/>
        <v>197994.58500000002</v>
      </c>
      <c r="AD52" s="47">
        <f t="shared" si="141"/>
        <v>194851.81380952382</v>
      </c>
      <c r="AE52" s="47">
        <f t="shared" si="141"/>
        <v>191709.04261904763</v>
      </c>
      <c r="AF52" s="47">
        <f t="shared" si="141"/>
        <v>188566.27142857143</v>
      </c>
      <c r="AG52" s="47">
        <f t="shared" si="141"/>
        <v>185423.50023809524</v>
      </c>
      <c r="AH52" s="47">
        <f t="shared" si="141"/>
        <v>182280.72904761904</v>
      </c>
      <c r="AI52" s="47">
        <f t="shared" ref="AI52:BN52" si="142">AI7-AI37</f>
        <v>179137.95785714284</v>
      </c>
      <c r="AJ52" s="47">
        <f t="shared" si="142"/>
        <v>175995.18666666665</v>
      </c>
      <c r="AK52" s="47">
        <f t="shared" si="142"/>
        <v>172852.41547619045</v>
      </c>
      <c r="AL52" s="47">
        <f t="shared" si="142"/>
        <v>169709.64428571425</v>
      </c>
      <c r="AM52" s="47">
        <f t="shared" si="142"/>
        <v>166566.87309523806</v>
      </c>
      <c r="AN52" s="47">
        <f t="shared" si="142"/>
        <v>163424.10190476186</v>
      </c>
      <c r="AO52" s="47">
        <f t="shared" si="142"/>
        <v>160281.33071428566</v>
      </c>
      <c r="AP52" s="47">
        <f t="shared" si="142"/>
        <v>157138.55952380947</v>
      </c>
      <c r="AQ52" s="47">
        <f t="shared" si="142"/>
        <v>153995.78833333327</v>
      </c>
      <c r="AR52" s="203">
        <f t="shared" si="142"/>
        <v>150853.01714285708</v>
      </c>
      <c r="AS52" s="203">
        <f t="shared" si="142"/>
        <v>147710.24595238088</v>
      </c>
      <c r="AT52" s="203">
        <f t="shared" si="142"/>
        <v>144567.47476190468</v>
      </c>
      <c r="AU52" s="203">
        <f t="shared" si="142"/>
        <v>141424.70357142849</v>
      </c>
      <c r="AV52" s="203">
        <f t="shared" si="142"/>
        <v>138281.93238095229</v>
      </c>
      <c r="AW52" s="203">
        <f t="shared" si="142"/>
        <v>135139.16119047609</v>
      </c>
      <c r="AX52" s="203">
        <f t="shared" si="142"/>
        <v>131996.38999999993</v>
      </c>
      <c r="AY52" s="203">
        <f t="shared" si="142"/>
        <v>128853.61880952373</v>
      </c>
      <c r="AZ52" s="203">
        <f t="shared" si="142"/>
        <v>125710.84761904753</v>
      </c>
      <c r="BA52" s="203">
        <f t="shared" si="142"/>
        <v>122568.07642857134</v>
      </c>
      <c r="BB52" s="203">
        <f t="shared" si="142"/>
        <v>119425.30523809514</v>
      </c>
      <c r="BC52" s="203">
        <f t="shared" si="142"/>
        <v>116282.53404761894</v>
      </c>
      <c r="BD52" s="47">
        <f t="shared" si="142"/>
        <v>113139.76285714275</v>
      </c>
      <c r="BE52" s="47">
        <f t="shared" si="142"/>
        <v>109996.99166666655</v>
      </c>
      <c r="BF52" s="47">
        <f t="shared" si="142"/>
        <v>106854.22047619036</v>
      </c>
      <c r="BG52" s="47">
        <f t="shared" si="142"/>
        <v>103711.44928571416</v>
      </c>
      <c r="BH52" s="47">
        <f t="shared" si="142"/>
        <v>100568.67809523796</v>
      </c>
      <c r="BI52" s="47">
        <f t="shared" si="142"/>
        <v>97425.906904761767</v>
      </c>
      <c r="BJ52" s="47">
        <f t="shared" si="142"/>
        <v>94283.13571428557</v>
      </c>
      <c r="BK52" s="47">
        <f t="shared" si="142"/>
        <v>91140.364523809374</v>
      </c>
      <c r="BL52" s="47">
        <f t="shared" si="142"/>
        <v>87997.593333333178</v>
      </c>
      <c r="BM52" s="47">
        <f t="shared" si="142"/>
        <v>84854.822142856981</v>
      </c>
      <c r="BN52" s="47">
        <f t="shared" si="142"/>
        <v>81712.050952380785</v>
      </c>
      <c r="BO52" s="47">
        <f t="shared" ref="BO52:CT52" si="143">BO7-BO37</f>
        <v>78569.279761904589</v>
      </c>
      <c r="BP52" s="47">
        <f t="shared" si="143"/>
        <v>75426.508571428392</v>
      </c>
      <c r="BQ52" s="47">
        <f t="shared" si="143"/>
        <v>72283.737380952196</v>
      </c>
      <c r="BR52" s="47">
        <f t="shared" si="143"/>
        <v>69140.966190476</v>
      </c>
      <c r="BS52" s="47">
        <f t="shared" si="143"/>
        <v>65998.194999999803</v>
      </c>
      <c r="BT52" s="47">
        <f t="shared" si="143"/>
        <v>62855.423809523607</v>
      </c>
      <c r="BU52" s="47">
        <f t="shared" si="143"/>
        <v>59712.652619047411</v>
      </c>
      <c r="BV52" s="47">
        <f t="shared" si="143"/>
        <v>56569.881428571214</v>
      </c>
      <c r="BW52" s="47">
        <f t="shared" si="143"/>
        <v>53427.110238095018</v>
      </c>
      <c r="BX52" s="47">
        <f t="shared" si="143"/>
        <v>50284.339047618821</v>
      </c>
      <c r="BY52" s="47">
        <f t="shared" si="143"/>
        <v>47141.567857142625</v>
      </c>
      <c r="BZ52" s="47">
        <f t="shared" si="143"/>
        <v>43998.796666666429</v>
      </c>
      <c r="CA52" s="47">
        <f t="shared" si="143"/>
        <v>40856.025476190232</v>
      </c>
      <c r="CB52" s="47">
        <f t="shared" si="143"/>
        <v>37713.254285714036</v>
      </c>
      <c r="CC52" s="47">
        <f t="shared" si="143"/>
        <v>34570.48309523784</v>
      </c>
      <c r="CD52" s="47">
        <f t="shared" si="143"/>
        <v>31427.711904761643</v>
      </c>
      <c r="CE52" s="47">
        <f t="shared" si="143"/>
        <v>28284.940714285447</v>
      </c>
      <c r="CF52" s="47">
        <f t="shared" si="143"/>
        <v>25142.169523809251</v>
      </c>
      <c r="CG52" s="47">
        <f t="shared" si="143"/>
        <v>21999.398333333054</v>
      </c>
      <c r="CH52" s="47">
        <f t="shared" si="143"/>
        <v>18856.627142856858</v>
      </c>
      <c r="CI52" s="47">
        <f t="shared" si="143"/>
        <v>15713.855952380662</v>
      </c>
      <c r="CJ52" s="47">
        <f t="shared" si="143"/>
        <v>12571.084761904465</v>
      </c>
      <c r="CK52" s="47">
        <f t="shared" si="143"/>
        <v>9428.3135714282689</v>
      </c>
      <c r="CL52" s="47">
        <f t="shared" si="143"/>
        <v>6285.5423809520726</v>
      </c>
      <c r="CM52" s="47">
        <f t="shared" si="143"/>
        <v>3142.7711904758762</v>
      </c>
      <c r="CN52" s="47">
        <f t="shared" si="143"/>
        <v>0</v>
      </c>
      <c r="CO52" s="47">
        <f t="shared" si="143"/>
        <v>0</v>
      </c>
      <c r="CP52" s="47">
        <f t="shared" si="143"/>
        <v>0</v>
      </c>
      <c r="CQ52" s="47">
        <f t="shared" si="143"/>
        <v>0</v>
      </c>
      <c r="CR52" s="47">
        <f t="shared" si="143"/>
        <v>0</v>
      </c>
      <c r="CS52" s="47">
        <f t="shared" si="143"/>
        <v>0</v>
      </c>
      <c r="CT52" s="47">
        <f t="shared" si="143"/>
        <v>0</v>
      </c>
      <c r="CU52" s="47">
        <f t="shared" ref="CU52:DZ52" si="144">CU7-CU37</f>
        <v>0</v>
      </c>
      <c r="CV52" s="47">
        <f t="shared" si="144"/>
        <v>0</v>
      </c>
      <c r="CW52" s="47">
        <f t="shared" si="144"/>
        <v>0</v>
      </c>
      <c r="CX52" s="47">
        <f t="shared" si="144"/>
        <v>0</v>
      </c>
      <c r="CY52" s="47">
        <f t="shared" si="144"/>
        <v>0</v>
      </c>
      <c r="CZ52" s="47">
        <f t="shared" si="144"/>
        <v>0</v>
      </c>
      <c r="DA52" s="47">
        <f t="shared" si="144"/>
        <v>0</v>
      </c>
      <c r="DB52" s="47">
        <f t="shared" si="144"/>
        <v>0</v>
      </c>
      <c r="DC52" s="47">
        <f t="shared" si="144"/>
        <v>0</v>
      </c>
      <c r="DD52" s="47">
        <f t="shared" si="144"/>
        <v>0</v>
      </c>
      <c r="DE52" s="47">
        <f t="shared" si="144"/>
        <v>0</v>
      </c>
      <c r="DF52" s="47">
        <f t="shared" si="144"/>
        <v>0</v>
      </c>
      <c r="DG52" s="47">
        <f t="shared" si="144"/>
        <v>0</v>
      </c>
      <c r="DH52" s="47">
        <f t="shared" si="144"/>
        <v>0</v>
      </c>
      <c r="DI52" s="47">
        <f t="shared" si="144"/>
        <v>0</v>
      </c>
      <c r="DJ52" s="47">
        <f t="shared" si="144"/>
        <v>0</v>
      </c>
      <c r="DK52" s="47">
        <f t="shared" si="144"/>
        <v>0</v>
      </c>
      <c r="DL52" s="47">
        <f t="shared" si="144"/>
        <v>0</v>
      </c>
      <c r="DM52" s="47">
        <f t="shared" si="144"/>
        <v>0</v>
      </c>
      <c r="DN52" s="47">
        <f t="shared" si="144"/>
        <v>0</v>
      </c>
      <c r="DO52" s="47">
        <f t="shared" si="144"/>
        <v>0</v>
      </c>
      <c r="DP52" s="47">
        <f t="shared" si="144"/>
        <v>0</v>
      </c>
      <c r="DQ52" s="47">
        <f t="shared" si="144"/>
        <v>0</v>
      </c>
      <c r="DR52" s="47">
        <f t="shared" si="144"/>
        <v>0</v>
      </c>
      <c r="DS52" s="47">
        <f t="shared" si="144"/>
        <v>0</v>
      </c>
      <c r="DT52" s="47">
        <f t="shared" si="144"/>
        <v>0</v>
      </c>
      <c r="DU52" s="47">
        <f t="shared" si="144"/>
        <v>0</v>
      </c>
      <c r="DV52" s="47">
        <f t="shared" si="144"/>
        <v>0</v>
      </c>
      <c r="DW52" s="47">
        <f t="shared" si="144"/>
        <v>0</v>
      </c>
      <c r="DX52" s="47">
        <f t="shared" si="144"/>
        <v>0</v>
      </c>
      <c r="DY52" s="47">
        <f t="shared" si="144"/>
        <v>0</v>
      </c>
      <c r="DZ52" s="47">
        <f t="shared" si="144"/>
        <v>0</v>
      </c>
      <c r="EA52" s="47">
        <f t="shared" ref="EA52:EQ52" si="145">EA7-EA37</f>
        <v>0</v>
      </c>
      <c r="EB52" s="47">
        <f t="shared" si="145"/>
        <v>0</v>
      </c>
      <c r="EC52" s="47">
        <f t="shared" si="145"/>
        <v>0</v>
      </c>
      <c r="ED52" s="47">
        <f t="shared" si="145"/>
        <v>0</v>
      </c>
      <c r="EE52" s="47">
        <f t="shared" si="145"/>
        <v>0</v>
      </c>
      <c r="EF52" s="47">
        <f t="shared" si="145"/>
        <v>0</v>
      </c>
      <c r="EG52" s="47">
        <f t="shared" si="145"/>
        <v>0</v>
      </c>
      <c r="EH52" s="47">
        <f t="shared" si="145"/>
        <v>0</v>
      </c>
      <c r="EI52" s="47">
        <f t="shared" si="145"/>
        <v>0</v>
      </c>
      <c r="EJ52" s="47">
        <f t="shared" si="145"/>
        <v>0</v>
      </c>
      <c r="EK52" s="47">
        <f t="shared" si="145"/>
        <v>0</v>
      </c>
      <c r="EL52" s="47">
        <f t="shared" si="145"/>
        <v>0</v>
      </c>
      <c r="EM52" s="47">
        <f t="shared" si="145"/>
        <v>0</v>
      </c>
      <c r="EN52" s="47">
        <f t="shared" si="145"/>
        <v>0</v>
      </c>
      <c r="EO52" s="47">
        <f t="shared" si="145"/>
        <v>0</v>
      </c>
      <c r="EP52" s="47">
        <f t="shared" si="145"/>
        <v>0</v>
      </c>
      <c r="EQ52" s="47">
        <f t="shared" si="145"/>
        <v>0</v>
      </c>
    </row>
    <row r="53" spans="1:147" x14ac:dyDescent="0.3">
      <c r="A53" s="41" t="s">
        <v>126</v>
      </c>
      <c r="C53" s="47">
        <f t="shared" ref="C53:AH53" si="146">C8-C38</f>
        <v>0</v>
      </c>
      <c r="D53" s="47">
        <f t="shared" si="146"/>
        <v>0</v>
      </c>
      <c r="E53" s="47">
        <f t="shared" si="146"/>
        <v>0</v>
      </c>
      <c r="F53" s="47">
        <f t="shared" si="146"/>
        <v>0</v>
      </c>
      <c r="G53" s="47">
        <f t="shared" si="146"/>
        <v>0</v>
      </c>
      <c r="H53" s="47">
        <f t="shared" si="146"/>
        <v>0</v>
      </c>
      <c r="I53" s="47">
        <f t="shared" si="146"/>
        <v>0</v>
      </c>
      <c r="J53" s="47">
        <f t="shared" si="146"/>
        <v>266686.90476190473</v>
      </c>
      <c r="K53" s="47">
        <f t="shared" si="146"/>
        <v>263473.80952380953</v>
      </c>
      <c r="L53" s="47">
        <f t="shared" si="146"/>
        <v>260260.71428571429</v>
      </c>
      <c r="M53" s="47">
        <f t="shared" si="146"/>
        <v>257047.61904761905</v>
      </c>
      <c r="N53" s="47">
        <f t="shared" si="146"/>
        <v>253834.52380952382</v>
      </c>
      <c r="O53" s="47">
        <f t="shared" si="146"/>
        <v>250621.42857142858</v>
      </c>
      <c r="P53" s="47">
        <f t="shared" si="146"/>
        <v>247408.33333333334</v>
      </c>
      <c r="Q53" s="47">
        <f t="shared" si="146"/>
        <v>244195.23809523811</v>
      </c>
      <c r="R53" s="47">
        <f t="shared" si="146"/>
        <v>240982.14285714287</v>
      </c>
      <c r="S53" s="47">
        <f t="shared" si="146"/>
        <v>237769.04761904763</v>
      </c>
      <c r="T53" s="47">
        <f t="shared" si="146"/>
        <v>234555.9523809524</v>
      </c>
      <c r="U53" s="47">
        <f t="shared" si="146"/>
        <v>231342.85714285716</v>
      </c>
      <c r="V53" s="47">
        <f t="shared" si="146"/>
        <v>228129.76190476192</v>
      </c>
      <c r="W53" s="47">
        <f t="shared" si="146"/>
        <v>224916.66666666669</v>
      </c>
      <c r="X53" s="47">
        <f t="shared" si="146"/>
        <v>221703.57142857145</v>
      </c>
      <c r="Y53" s="47">
        <f t="shared" si="146"/>
        <v>218490.47619047621</v>
      </c>
      <c r="Z53" s="47">
        <f t="shared" si="146"/>
        <v>215277.38095238098</v>
      </c>
      <c r="AA53" s="47">
        <f t="shared" si="146"/>
        <v>212064.28571428574</v>
      </c>
      <c r="AB53" s="47">
        <f t="shared" si="146"/>
        <v>208851.1904761905</v>
      </c>
      <c r="AC53" s="47">
        <f t="shared" si="146"/>
        <v>205638.09523809527</v>
      </c>
      <c r="AD53" s="47">
        <f t="shared" si="146"/>
        <v>202425</v>
      </c>
      <c r="AE53" s="47">
        <f t="shared" si="146"/>
        <v>199211.90476190479</v>
      </c>
      <c r="AF53" s="47">
        <f t="shared" si="146"/>
        <v>195998.80952380953</v>
      </c>
      <c r="AG53" s="47">
        <f t="shared" si="146"/>
        <v>192785.71428571432</v>
      </c>
      <c r="AH53" s="47">
        <f t="shared" si="146"/>
        <v>189572.61904761905</v>
      </c>
      <c r="AI53" s="47">
        <f t="shared" ref="AI53:BN53" si="147">AI8-AI38</f>
        <v>186359.52380952385</v>
      </c>
      <c r="AJ53" s="47">
        <f t="shared" si="147"/>
        <v>183146.42857142858</v>
      </c>
      <c r="AK53" s="47">
        <f t="shared" si="147"/>
        <v>179933.33333333337</v>
      </c>
      <c r="AL53" s="47">
        <f t="shared" si="147"/>
        <v>176720.23809523811</v>
      </c>
      <c r="AM53" s="47">
        <f t="shared" si="147"/>
        <v>173507.1428571429</v>
      </c>
      <c r="AN53" s="47">
        <f t="shared" si="147"/>
        <v>170294.04761904763</v>
      </c>
      <c r="AO53" s="47">
        <f t="shared" si="147"/>
        <v>167080.95238095243</v>
      </c>
      <c r="AP53" s="47">
        <f t="shared" si="147"/>
        <v>163867.85714285716</v>
      </c>
      <c r="AQ53" s="47">
        <f t="shared" si="147"/>
        <v>160654.76190476195</v>
      </c>
      <c r="AR53" s="203">
        <f t="shared" si="147"/>
        <v>157441.66666666669</v>
      </c>
      <c r="AS53" s="203">
        <f t="shared" si="147"/>
        <v>154228.57142857148</v>
      </c>
      <c r="AT53" s="203">
        <f t="shared" si="147"/>
        <v>151015.47619047621</v>
      </c>
      <c r="AU53" s="203">
        <f t="shared" si="147"/>
        <v>147802.38095238101</v>
      </c>
      <c r="AV53" s="203">
        <f t="shared" si="147"/>
        <v>144589.28571428574</v>
      </c>
      <c r="AW53" s="203">
        <f t="shared" si="147"/>
        <v>141376.19047619053</v>
      </c>
      <c r="AX53" s="203">
        <f t="shared" si="147"/>
        <v>138163.09523809527</v>
      </c>
      <c r="AY53" s="203">
        <f t="shared" si="147"/>
        <v>134950.00000000003</v>
      </c>
      <c r="AZ53" s="203">
        <f t="shared" si="147"/>
        <v>131736.90476190479</v>
      </c>
      <c r="BA53" s="203">
        <f t="shared" si="147"/>
        <v>128523.80952380956</v>
      </c>
      <c r="BB53" s="203">
        <f t="shared" si="147"/>
        <v>125310.71428571432</v>
      </c>
      <c r="BC53" s="203">
        <f t="shared" si="147"/>
        <v>122097.61904761908</v>
      </c>
      <c r="BD53" s="47">
        <f t="shared" si="147"/>
        <v>118884.52380952385</v>
      </c>
      <c r="BE53" s="47">
        <f t="shared" si="147"/>
        <v>115671.42857142861</v>
      </c>
      <c r="BF53" s="47">
        <f t="shared" si="147"/>
        <v>112458.33333333337</v>
      </c>
      <c r="BG53" s="47">
        <f t="shared" si="147"/>
        <v>109245.23809523814</v>
      </c>
      <c r="BH53" s="47">
        <f t="shared" si="147"/>
        <v>106032.1428571429</v>
      </c>
      <c r="BI53" s="47">
        <f t="shared" si="147"/>
        <v>102819.04761904766</v>
      </c>
      <c r="BJ53" s="47">
        <f t="shared" si="147"/>
        <v>99605.952380952425</v>
      </c>
      <c r="BK53" s="47">
        <f t="shared" si="147"/>
        <v>96392.857142857189</v>
      </c>
      <c r="BL53" s="47">
        <f t="shared" si="147"/>
        <v>93179.761904761952</v>
      </c>
      <c r="BM53" s="47">
        <f t="shared" si="147"/>
        <v>89966.666666666715</v>
      </c>
      <c r="BN53" s="47">
        <f t="shared" si="147"/>
        <v>86753.571428571478</v>
      </c>
      <c r="BO53" s="47">
        <f t="shared" ref="BO53:CT53" si="148">BO8-BO38</f>
        <v>83540.476190476242</v>
      </c>
      <c r="BP53" s="47">
        <f t="shared" si="148"/>
        <v>80327.380952381005</v>
      </c>
      <c r="BQ53" s="47">
        <f t="shared" si="148"/>
        <v>77114.285714285768</v>
      </c>
      <c r="BR53" s="47">
        <f t="shared" si="148"/>
        <v>73901.190476190532</v>
      </c>
      <c r="BS53" s="47">
        <f t="shared" si="148"/>
        <v>70688.095238095295</v>
      </c>
      <c r="BT53" s="47">
        <f t="shared" si="148"/>
        <v>67475.000000000058</v>
      </c>
      <c r="BU53" s="47">
        <f t="shared" si="148"/>
        <v>64261.904761904821</v>
      </c>
      <c r="BV53" s="47">
        <f t="shared" si="148"/>
        <v>61048.809523809585</v>
      </c>
      <c r="BW53" s="47">
        <f t="shared" si="148"/>
        <v>57835.714285714348</v>
      </c>
      <c r="BX53" s="47">
        <f t="shared" si="148"/>
        <v>54622.619047619111</v>
      </c>
      <c r="BY53" s="47">
        <f t="shared" si="148"/>
        <v>51409.523809523875</v>
      </c>
      <c r="BZ53" s="47">
        <f t="shared" si="148"/>
        <v>48196.428571428638</v>
      </c>
      <c r="CA53" s="47">
        <f t="shared" si="148"/>
        <v>44983.333333333401</v>
      </c>
      <c r="CB53" s="47">
        <f t="shared" si="148"/>
        <v>41770.238095238165</v>
      </c>
      <c r="CC53" s="47">
        <f t="shared" si="148"/>
        <v>38557.142857142928</v>
      </c>
      <c r="CD53" s="47">
        <f t="shared" si="148"/>
        <v>35344.047619047691</v>
      </c>
      <c r="CE53" s="47">
        <f t="shared" si="148"/>
        <v>32130.952380952454</v>
      </c>
      <c r="CF53" s="47">
        <f t="shared" si="148"/>
        <v>28917.857142857218</v>
      </c>
      <c r="CG53" s="47">
        <f t="shared" si="148"/>
        <v>25704.761904761981</v>
      </c>
      <c r="CH53" s="47">
        <f t="shared" si="148"/>
        <v>22491.666666666744</v>
      </c>
      <c r="CI53" s="47">
        <f t="shared" si="148"/>
        <v>19278.571428571508</v>
      </c>
      <c r="CJ53" s="47">
        <f t="shared" si="148"/>
        <v>16065.476190476271</v>
      </c>
      <c r="CK53" s="47">
        <f t="shared" si="148"/>
        <v>12852.380952381034</v>
      </c>
      <c r="CL53" s="47">
        <f t="shared" si="148"/>
        <v>9639.2857142857974</v>
      </c>
      <c r="CM53" s="47">
        <f t="shared" si="148"/>
        <v>6426.1904761905316</v>
      </c>
      <c r="CN53" s="47">
        <f t="shared" si="148"/>
        <v>3213.0952380952658</v>
      </c>
      <c r="CO53" s="47">
        <f t="shared" si="148"/>
        <v>0</v>
      </c>
      <c r="CP53" s="47">
        <f t="shared" si="148"/>
        <v>0</v>
      </c>
      <c r="CQ53" s="47">
        <f t="shared" si="148"/>
        <v>0</v>
      </c>
      <c r="CR53" s="47">
        <f t="shared" si="148"/>
        <v>0</v>
      </c>
      <c r="CS53" s="47">
        <f t="shared" si="148"/>
        <v>0</v>
      </c>
      <c r="CT53" s="47">
        <f t="shared" si="148"/>
        <v>0</v>
      </c>
      <c r="CU53" s="47">
        <f t="shared" ref="CU53:DZ53" si="149">CU8-CU38</f>
        <v>0</v>
      </c>
      <c r="CV53" s="47">
        <f t="shared" si="149"/>
        <v>0</v>
      </c>
      <c r="CW53" s="47">
        <f t="shared" si="149"/>
        <v>0</v>
      </c>
      <c r="CX53" s="47">
        <f t="shared" si="149"/>
        <v>0</v>
      </c>
      <c r="CY53" s="47">
        <f t="shared" si="149"/>
        <v>0</v>
      </c>
      <c r="CZ53" s="47">
        <f t="shared" si="149"/>
        <v>0</v>
      </c>
      <c r="DA53" s="47">
        <f t="shared" si="149"/>
        <v>0</v>
      </c>
      <c r="DB53" s="47">
        <f t="shared" si="149"/>
        <v>0</v>
      </c>
      <c r="DC53" s="47">
        <f t="shared" si="149"/>
        <v>0</v>
      </c>
      <c r="DD53" s="47">
        <f t="shared" si="149"/>
        <v>0</v>
      </c>
      <c r="DE53" s="47">
        <f t="shared" si="149"/>
        <v>0</v>
      </c>
      <c r="DF53" s="47">
        <f t="shared" si="149"/>
        <v>0</v>
      </c>
      <c r="DG53" s="47">
        <f t="shared" si="149"/>
        <v>0</v>
      </c>
      <c r="DH53" s="47">
        <f t="shared" si="149"/>
        <v>0</v>
      </c>
      <c r="DI53" s="47">
        <f t="shared" si="149"/>
        <v>0</v>
      </c>
      <c r="DJ53" s="47">
        <f t="shared" si="149"/>
        <v>0</v>
      </c>
      <c r="DK53" s="47">
        <f t="shared" si="149"/>
        <v>0</v>
      </c>
      <c r="DL53" s="47">
        <f t="shared" si="149"/>
        <v>0</v>
      </c>
      <c r="DM53" s="47">
        <f t="shared" si="149"/>
        <v>0</v>
      </c>
      <c r="DN53" s="47">
        <f t="shared" si="149"/>
        <v>0</v>
      </c>
      <c r="DO53" s="47">
        <f t="shared" si="149"/>
        <v>0</v>
      </c>
      <c r="DP53" s="47">
        <f t="shared" si="149"/>
        <v>0</v>
      </c>
      <c r="DQ53" s="47">
        <f t="shared" si="149"/>
        <v>0</v>
      </c>
      <c r="DR53" s="47">
        <f t="shared" si="149"/>
        <v>0</v>
      </c>
      <c r="DS53" s="47">
        <f t="shared" si="149"/>
        <v>0</v>
      </c>
      <c r="DT53" s="47">
        <f t="shared" si="149"/>
        <v>0</v>
      </c>
      <c r="DU53" s="47">
        <f t="shared" si="149"/>
        <v>0</v>
      </c>
      <c r="DV53" s="47">
        <f t="shared" si="149"/>
        <v>0</v>
      </c>
      <c r="DW53" s="47">
        <f t="shared" si="149"/>
        <v>0</v>
      </c>
      <c r="DX53" s="47">
        <f t="shared" si="149"/>
        <v>0</v>
      </c>
      <c r="DY53" s="47">
        <f t="shared" si="149"/>
        <v>0</v>
      </c>
      <c r="DZ53" s="47">
        <f t="shared" si="149"/>
        <v>0</v>
      </c>
      <c r="EA53" s="47">
        <f t="shared" ref="EA53:EQ53" si="150">EA8-EA38</f>
        <v>0</v>
      </c>
      <c r="EB53" s="47">
        <f t="shared" si="150"/>
        <v>0</v>
      </c>
      <c r="EC53" s="47">
        <f t="shared" si="150"/>
        <v>0</v>
      </c>
      <c r="ED53" s="47">
        <f t="shared" si="150"/>
        <v>0</v>
      </c>
      <c r="EE53" s="47">
        <f t="shared" si="150"/>
        <v>0</v>
      </c>
      <c r="EF53" s="47">
        <f t="shared" si="150"/>
        <v>0</v>
      </c>
      <c r="EG53" s="47">
        <f t="shared" si="150"/>
        <v>0</v>
      </c>
      <c r="EH53" s="47">
        <f t="shared" si="150"/>
        <v>0</v>
      </c>
      <c r="EI53" s="47">
        <f t="shared" si="150"/>
        <v>0</v>
      </c>
      <c r="EJ53" s="47">
        <f t="shared" si="150"/>
        <v>0</v>
      </c>
      <c r="EK53" s="47">
        <f t="shared" si="150"/>
        <v>0</v>
      </c>
      <c r="EL53" s="47">
        <f t="shared" si="150"/>
        <v>0</v>
      </c>
      <c r="EM53" s="47">
        <f t="shared" si="150"/>
        <v>0</v>
      </c>
      <c r="EN53" s="47">
        <f t="shared" si="150"/>
        <v>0</v>
      </c>
      <c r="EO53" s="47">
        <f t="shared" si="150"/>
        <v>0</v>
      </c>
      <c r="EP53" s="47">
        <f t="shared" si="150"/>
        <v>0</v>
      </c>
      <c r="EQ53" s="47">
        <f t="shared" si="150"/>
        <v>0</v>
      </c>
    </row>
    <row r="54" spans="1:147" x14ac:dyDescent="0.3">
      <c r="A54" s="41" t="s">
        <v>132</v>
      </c>
      <c r="C54" s="47">
        <f t="shared" ref="C54:AH54" si="151">C9-C39</f>
        <v>0</v>
      </c>
      <c r="D54" s="47">
        <f t="shared" si="151"/>
        <v>0</v>
      </c>
      <c r="E54" s="47">
        <f t="shared" si="151"/>
        <v>0</v>
      </c>
      <c r="F54" s="47">
        <f t="shared" si="151"/>
        <v>0</v>
      </c>
      <c r="G54" s="47">
        <f t="shared" si="151"/>
        <v>0</v>
      </c>
      <c r="H54" s="47">
        <f t="shared" si="151"/>
        <v>0</v>
      </c>
      <c r="I54" s="47">
        <f t="shared" si="151"/>
        <v>0</v>
      </c>
      <c r="J54" s="47">
        <f t="shared" si="151"/>
        <v>0</v>
      </c>
      <c r="K54" s="47">
        <f t="shared" si="151"/>
        <v>0</v>
      </c>
      <c r="L54" s="47">
        <f t="shared" si="151"/>
        <v>0</v>
      </c>
      <c r="M54" s="47">
        <f t="shared" si="151"/>
        <v>0</v>
      </c>
      <c r="N54" s="47">
        <f t="shared" si="151"/>
        <v>0</v>
      </c>
      <c r="O54" s="47">
        <f t="shared" si="151"/>
        <v>0</v>
      </c>
      <c r="P54" s="47">
        <f t="shared" si="151"/>
        <v>0</v>
      </c>
      <c r="Q54" s="47">
        <f t="shared" si="151"/>
        <v>0</v>
      </c>
      <c r="R54" s="47">
        <f t="shared" si="151"/>
        <v>0</v>
      </c>
      <c r="S54" s="47">
        <f t="shared" si="151"/>
        <v>0</v>
      </c>
      <c r="T54" s="47">
        <f t="shared" si="151"/>
        <v>0</v>
      </c>
      <c r="U54" s="47">
        <f t="shared" si="151"/>
        <v>0</v>
      </c>
      <c r="V54" s="47">
        <f t="shared" si="151"/>
        <v>0</v>
      </c>
      <c r="W54" s="47">
        <f t="shared" si="151"/>
        <v>0</v>
      </c>
      <c r="X54" s="47">
        <f t="shared" si="151"/>
        <v>0</v>
      </c>
      <c r="Y54" s="47">
        <f t="shared" si="151"/>
        <v>0</v>
      </c>
      <c r="Z54" s="47">
        <f t="shared" si="151"/>
        <v>138333.33333333334</v>
      </c>
      <c r="AA54" s="47">
        <f t="shared" si="151"/>
        <v>136666.66666666666</v>
      </c>
      <c r="AB54" s="47">
        <f t="shared" si="151"/>
        <v>135000</v>
      </c>
      <c r="AC54" s="47">
        <f t="shared" si="151"/>
        <v>133333.33333333334</v>
      </c>
      <c r="AD54" s="47">
        <f t="shared" si="151"/>
        <v>131666.66666666666</v>
      </c>
      <c r="AE54" s="47">
        <f t="shared" si="151"/>
        <v>130000</v>
      </c>
      <c r="AF54" s="47">
        <f t="shared" si="151"/>
        <v>128333.33333333333</v>
      </c>
      <c r="AG54" s="47">
        <f t="shared" si="151"/>
        <v>126666.66666666667</v>
      </c>
      <c r="AH54" s="47">
        <f t="shared" si="151"/>
        <v>125000</v>
      </c>
      <c r="AI54" s="47">
        <f t="shared" ref="AI54:BN54" si="152">AI9-AI39</f>
        <v>123333.33333333334</v>
      </c>
      <c r="AJ54" s="47">
        <f t="shared" si="152"/>
        <v>121666.66666666667</v>
      </c>
      <c r="AK54" s="47">
        <f t="shared" si="152"/>
        <v>120000</v>
      </c>
      <c r="AL54" s="47">
        <f t="shared" si="152"/>
        <v>118333.33333333333</v>
      </c>
      <c r="AM54" s="47">
        <f t="shared" si="152"/>
        <v>116666.66666666666</v>
      </c>
      <c r="AN54" s="47">
        <f t="shared" si="152"/>
        <v>115000</v>
      </c>
      <c r="AO54" s="47">
        <f t="shared" si="152"/>
        <v>113333.33333333333</v>
      </c>
      <c r="AP54" s="47">
        <f t="shared" si="152"/>
        <v>111666.66666666666</v>
      </c>
      <c r="AQ54" s="47">
        <f t="shared" si="152"/>
        <v>110000</v>
      </c>
      <c r="AR54" s="203">
        <f t="shared" si="152"/>
        <v>108333.33333333333</v>
      </c>
      <c r="AS54" s="203">
        <f t="shared" si="152"/>
        <v>106666.66666666666</v>
      </c>
      <c r="AT54" s="203">
        <f t="shared" si="152"/>
        <v>105000</v>
      </c>
      <c r="AU54" s="203">
        <f t="shared" si="152"/>
        <v>103333.33333333333</v>
      </c>
      <c r="AV54" s="203">
        <f t="shared" si="152"/>
        <v>101666.66666666666</v>
      </c>
      <c r="AW54" s="203">
        <f t="shared" si="152"/>
        <v>100000</v>
      </c>
      <c r="AX54" s="203">
        <f t="shared" si="152"/>
        <v>98333.333333333343</v>
      </c>
      <c r="AY54" s="203">
        <f t="shared" si="152"/>
        <v>96666.666666666672</v>
      </c>
      <c r="AZ54" s="203">
        <f t="shared" si="152"/>
        <v>95000</v>
      </c>
      <c r="BA54" s="203">
        <f t="shared" si="152"/>
        <v>93333.333333333343</v>
      </c>
      <c r="BB54" s="203">
        <f t="shared" si="152"/>
        <v>91666.666666666686</v>
      </c>
      <c r="BC54" s="203">
        <f t="shared" si="152"/>
        <v>90000.000000000015</v>
      </c>
      <c r="BD54" s="47">
        <f t="shared" si="152"/>
        <v>88333.333333333343</v>
      </c>
      <c r="BE54" s="47">
        <f t="shared" si="152"/>
        <v>86666.666666666686</v>
      </c>
      <c r="BF54" s="47">
        <f t="shared" si="152"/>
        <v>85000.000000000029</v>
      </c>
      <c r="BG54" s="47">
        <f t="shared" si="152"/>
        <v>83333.333333333358</v>
      </c>
      <c r="BH54" s="47">
        <f t="shared" si="152"/>
        <v>81666.666666666686</v>
      </c>
      <c r="BI54" s="47">
        <f t="shared" si="152"/>
        <v>80000.000000000029</v>
      </c>
      <c r="BJ54" s="47">
        <f t="shared" si="152"/>
        <v>78333.333333333372</v>
      </c>
      <c r="BK54" s="47">
        <f t="shared" si="152"/>
        <v>76666.666666666701</v>
      </c>
      <c r="BL54" s="47">
        <f t="shared" si="152"/>
        <v>75000.000000000029</v>
      </c>
      <c r="BM54" s="47">
        <f t="shared" si="152"/>
        <v>73333.333333333372</v>
      </c>
      <c r="BN54" s="47">
        <f t="shared" si="152"/>
        <v>71666.666666666701</v>
      </c>
      <c r="BO54" s="47">
        <f t="shared" ref="BO54:CT54" si="153">BO9-BO39</f>
        <v>70000.000000000029</v>
      </c>
      <c r="BP54" s="47">
        <f t="shared" si="153"/>
        <v>68333.333333333358</v>
      </c>
      <c r="BQ54" s="47">
        <f t="shared" si="153"/>
        <v>66666.666666666686</v>
      </c>
      <c r="BR54" s="47">
        <f t="shared" si="153"/>
        <v>65000.000000000015</v>
      </c>
      <c r="BS54" s="47">
        <f t="shared" si="153"/>
        <v>63333.333333333343</v>
      </c>
      <c r="BT54" s="47">
        <f t="shared" si="153"/>
        <v>61666.666666666672</v>
      </c>
      <c r="BU54" s="47">
        <f t="shared" si="153"/>
        <v>60000</v>
      </c>
      <c r="BV54" s="47">
        <f t="shared" si="153"/>
        <v>58333.333333333328</v>
      </c>
      <c r="BW54" s="47">
        <f t="shared" si="153"/>
        <v>56666.666666666657</v>
      </c>
      <c r="BX54" s="47">
        <f t="shared" si="153"/>
        <v>54999.999999999985</v>
      </c>
      <c r="BY54" s="47">
        <f t="shared" si="153"/>
        <v>53333.333333333314</v>
      </c>
      <c r="BZ54" s="47">
        <f t="shared" si="153"/>
        <v>51666.666666666642</v>
      </c>
      <c r="CA54" s="47">
        <f t="shared" si="153"/>
        <v>49999.999999999971</v>
      </c>
      <c r="CB54" s="47">
        <f t="shared" si="153"/>
        <v>48333.333333333299</v>
      </c>
      <c r="CC54" s="47">
        <f t="shared" si="153"/>
        <v>46666.666666666628</v>
      </c>
      <c r="CD54" s="47">
        <f t="shared" si="153"/>
        <v>44999.999999999956</v>
      </c>
      <c r="CE54" s="47">
        <f t="shared" si="153"/>
        <v>43333.333333333285</v>
      </c>
      <c r="CF54" s="47">
        <f t="shared" si="153"/>
        <v>41666.666666666613</v>
      </c>
      <c r="CG54" s="47">
        <f t="shared" si="153"/>
        <v>39999.999999999942</v>
      </c>
      <c r="CH54" s="47">
        <f t="shared" si="153"/>
        <v>38333.33333333327</v>
      </c>
      <c r="CI54" s="47">
        <f t="shared" si="153"/>
        <v>36666.666666666599</v>
      </c>
      <c r="CJ54" s="47">
        <f t="shared" si="153"/>
        <v>34999.999999999927</v>
      </c>
      <c r="CK54" s="47">
        <f t="shared" si="153"/>
        <v>33333.333333333256</v>
      </c>
      <c r="CL54" s="47">
        <f t="shared" si="153"/>
        <v>31666.666666666584</v>
      </c>
      <c r="CM54" s="47">
        <f t="shared" si="153"/>
        <v>29999.999999999913</v>
      </c>
      <c r="CN54" s="47">
        <f t="shared" si="153"/>
        <v>28333.333333333241</v>
      </c>
      <c r="CO54" s="47">
        <f t="shared" si="153"/>
        <v>26666.66666666657</v>
      </c>
      <c r="CP54" s="47">
        <f t="shared" si="153"/>
        <v>24999.999999999898</v>
      </c>
      <c r="CQ54" s="47">
        <f t="shared" si="153"/>
        <v>23333.333333333227</v>
      </c>
      <c r="CR54" s="47">
        <f t="shared" si="153"/>
        <v>21666.666666666555</v>
      </c>
      <c r="CS54" s="47">
        <f t="shared" si="153"/>
        <v>19999.999999999884</v>
      </c>
      <c r="CT54" s="47">
        <f t="shared" si="153"/>
        <v>18333.333333333212</v>
      </c>
      <c r="CU54" s="47">
        <f t="shared" ref="CU54:DZ54" si="154">CU9-CU39</f>
        <v>16666.666666666541</v>
      </c>
      <c r="CV54" s="47">
        <f t="shared" si="154"/>
        <v>14999.999999999869</v>
      </c>
      <c r="CW54" s="47">
        <f t="shared" si="154"/>
        <v>13333.333333333198</v>
      </c>
      <c r="CX54" s="47">
        <f t="shared" si="154"/>
        <v>11666.666666666526</v>
      </c>
      <c r="CY54" s="47">
        <f t="shared" si="154"/>
        <v>9999.9999999998545</v>
      </c>
      <c r="CZ54" s="47">
        <f t="shared" si="154"/>
        <v>8333.3333333331975</v>
      </c>
      <c r="DA54" s="47">
        <f t="shared" si="154"/>
        <v>6666.6666666665406</v>
      </c>
      <c r="DB54" s="47">
        <f t="shared" si="154"/>
        <v>4999.9999999998836</v>
      </c>
      <c r="DC54" s="47">
        <f t="shared" si="154"/>
        <v>3333.3333333332266</v>
      </c>
      <c r="DD54" s="47">
        <f t="shared" si="154"/>
        <v>1666.6666666665697</v>
      </c>
      <c r="DE54" s="47">
        <f t="shared" si="154"/>
        <v>0</v>
      </c>
      <c r="DF54" s="47">
        <f t="shared" si="154"/>
        <v>0</v>
      </c>
      <c r="DG54" s="47">
        <f t="shared" si="154"/>
        <v>0</v>
      </c>
      <c r="DH54" s="47">
        <f t="shared" si="154"/>
        <v>0</v>
      </c>
      <c r="DI54" s="47">
        <f t="shared" si="154"/>
        <v>0</v>
      </c>
      <c r="DJ54" s="47">
        <f t="shared" si="154"/>
        <v>0</v>
      </c>
      <c r="DK54" s="47">
        <f t="shared" si="154"/>
        <v>0</v>
      </c>
      <c r="DL54" s="47">
        <f t="shared" si="154"/>
        <v>0</v>
      </c>
      <c r="DM54" s="47">
        <f t="shared" si="154"/>
        <v>0</v>
      </c>
      <c r="DN54" s="47">
        <f t="shared" si="154"/>
        <v>0</v>
      </c>
      <c r="DO54" s="47">
        <f t="shared" si="154"/>
        <v>0</v>
      </c>
      <c r="DP54" s="47">
        <f t="shared" si="154"/>
        <v>0</v>
      </c>
      <c r="DQ54" s="47">
        <f t="shared" si="154"/>
        <v>0</v>
      </c>
      <c r="DR54" s="47">
        <f t="shared" si="154"/>
        <v>0</v>
      </c>
      <c r="DS54" s="47">
        <f t="shared" si="154"/>
        <v>0</v>
      </c>
      <c r="DT54" s="47">
        <f t="shared" si="154"/>
        <v>0</v>
      </c>
      <c r="DU54" s="47">
        <f t="shared" si="154"/>
        <v>0</v>
      </c>
      <c r="DV54" s="47">
        <f t="shared" si="154"/>
        <v>0</v>
      </c>
      <c r="DW54" s="47">
        <f t="shared" si="154"/>
        <v>0</v>
      </c>
      <c r="DX54" s="47">
        <f t="shared" si="154"/>
        <v>0</v>
      </c>
      <c r="DY54" s="47">
        <f t="shared" si="154"/>
        <v>0</v>
      </c>
      <c r="DZ54" s="47">
        <f t="shared" si="154"/>
        <v>0</v>
      </c>
      <c r="EA54" s="47">
        <f t="shared" ref="EA54:EQ54" si="155">EA9-EA39</f>
        <v>0</v>
      </c>
      <c r="EB54" s="47">
        <f t="shared" si="155"/>
        <v>0</v>
      </c>
      <c r="EC54" s="47">
        <f t="shared" si="155"/>
        <v>0</v>
      </c>
      <c r="ED54" s="47">
        <f t="shared" si="155"/>
        <v>0</v>
      </c>
      <c r="EE54" s="47">
        <f t="shared" si="155"/>
        <v>0</v>
      </c>
      <c r="EF54" s="47">
        <f t="shared" si="155"/>
        <v>0</v>
      </c>
      <c r="EG54" s="47">
        <f t="shared" si="155"/>
        <v>0</v>
      </c>
      <c r="EH54" s="47">
        <f t="shared" si="155"/>
        <v>0</v>
      </c>
      <c r="EI54" s="47">
        <f t="shared" si="155"/>
        <v>0</v>
      </c>
      <c r="EJ54" s="47">
        <f t="shared" si="155"/>
        <v>0</v>
      </c>
      <c r="EK54" s="47">
        <f t="shared" si="155"/>
        <v>0</v>
      </c>
      <c r="EL54" s="47">
        <f t="shared" si="155"/>
        <v>0</v>
      </c>
      <c r="EM54" s="47">
        <f t="shared" si="155"/>
        <v>0</v>
      </c>
      <c r="EN54" s="47">
        <f t="shared" si="155"/>
        <v>0</v>
      </c>
      <c r="EO54" s="47">
        <f t="shared" si="155"/>
        <v>0</v>
      </c>
      <c r="EP54" s="47">
        <f t="shared" si="155"/>
        <v>0</v>
      </c>
      <c r="EQ54" s="47">
        <f t="shared" si="155"/>
        <v>0</v>
      </c>
    </row>
    <row r="55" spans="1:147" x14ac:dyDescent="0.3">
      <c r="A55" s="41" t="s">
        <v>131</v>
      </c>
      <c r="C55" s="47">
        <f t="shared" ref="C55:AH55" si="156">C10-C40</f>
        <v>0</v>
      </c>
      <c r="D55" s="47">
        <f t="shared" si="156"/>
        <v>0</v>
      </c>
      <c r="E55" s="47">
        <f t="shared" si="156"/>
        <v>0</v>
      </c>
      <c r="F55" s="47">
        <f t="shared" si="156"/>
        <v>0</v>
      </c>
      <c r="G55" s="47">
        <f t="shared" si="156"/>
        <v>0</v>
      </c>
      <c r="H55" s="47">
        <f t="shared" si="156"/>
        <v>0</v>
      </c>
      <c r="I55" s="47">
        <f t="shared" si="156"/>
        <v>0</v>
      </c>
      <c r="J55" s="47">
        <f t="shared" si="156"/>
        <v>0</v>
      </c>
      <c r="K55" s="47">
        <f t="shared" si="156"/>
        <v>0</v>
      </c>
      <c r="L55" s="47">
        <f t="shared" si="156"/>
        <v>0</v>
      </c>
      <c r="M55" s="47">
        <f t="shared" si="156"/>
        <v>0</v>
      </c>
      <c r="N55" s="47">
        <f t="shared" si="156"/>
        <v>0</v>
      </c>
      <c r="O55" s="47">
        <f t="shared" si="156"/>
        <v>0</v>
      </c>
      <c r="P55" s="47">
        <f t="shared" si="156"/>
        <v>0</v>
      </c>
      <c r="Q55" s="47">
        <f t="shared" si="156"/>
        <v>0</v>
      </c>
      <c r="R55" s="47">
        <f t="shared" si="156"/>
        <v>0</v>
      </c>
      <c r="S55" s="47">
        <f t="shared" si="156"/>
        <v>0</v>
      </c>
      <c r="T55" s="47">
        <f t="shared" si="156"/>
        <v>0</v>
      </c>
      <c r="U55" s="47">
        <f t="shared" si="156"/>
        <v>0</v>
      </c>
      <c r="V55" s="47">
        <f t="shared" si="156"/>
        <v>0</v>
      </c>
      <c r="W55" s="47">
        <f t="shared" si="156"/>
        <v>0</v>
      </c>
      <c r="X55" s="47">
        <f t="shared" si="156"/>
        <v>0</v>
      </c>
      <c r="Y55" s="47">
        <f t="shared" si="156"/>
        <v>0</v>
      </c>
      <c r="Z55" s="47">
        <f t="shared" si="156"/>
        <v>269507.42261904763</v>
      </c>
      <c r="AA55" s="47">
        <f t="shared" si="156"/>
        <v>266260.34523809527</v>
      </c>
      <c r="AB55" s="47">
        <f t="shared" si="156"/>
        <v>263013.26785714284</v>
      </c>
      <c r="AC55" s="47">
        <f t="shared" si="156"/>
        <v>259766.19047619047</v>
      </c>
      <c r="AD55" s="47">
        <f t="shared" si="156"/>
        <v>256519.11309523811</v>
      </c>
      <c r="AE55" s="47">
        <f t="shared" si="156"/>
        <v>253272.03571428571</v>
      </c>
      <c r="AF55" s="47">
        <f t="shared" si="156"/>
        <v>250024.95833333334</v>
      </c>
      <c r="AG55" s="47">
        <f t="shared" si="156"/>
        <v>246777.88095238095</v>
      </c>
      <c r="AH55" s="47">
        <f t="shared" si="156"/>
        <v>243530.80357142858</v>
      </c>
      <c r="AI55" s="47">
        <f t="shared" ref="AI55:BN55" si="157">AI10-AI40</f>
        <v>240283.72619047618</v>
      </c>
      <c r="AJ55" s="47">
        <f t="shared" si="157"/>
        <v>237036.64880952382</v>
      </c>
      <c r="AK55" s="47">
        <f t="shared" si="157"/>
        <v>233789.57142857142</v>
      </c>
      <c r="AL55" s="47">
        <f t="shared" si="157"/>
        <v>230542.49404761905</v>
      </c>
      <c r="AM55" s="47">
        <f t="shared" si="157"/>
        <v>227295.41666666666</v>
      </c>
      <c r="AN55" s="47">
        <f t="shared" si="157"/>
        <v>224048.33928571429</v>
      </c>
      <c r="AO55" s="47">
        <f t="shared" si="157"/>
        <v>220801.26190476189</v>
      </c>
      <c r="AP55" s="47">
        <f t="shared" si="157"/>
        <v>217554.18452380953</v>
      </c>
      <c r="AQ55" s="47">
        <f t="shared" si="157"/>
        <v>214307.10714285713</v>
      </c>
      <c r="AR55" s="203">
        <f t="shared" si="157"/>
        <v>211060.02976190476</v>
      </c>
      <c r="AS55" s="203">
        <f t="shared" si="157"/>
        <v>207812.95238095237</v>
      </c>
      <c r="AT55" s="203">
        <f t="shared" si="157"/>
        <v>204565.875</v>
      </c>
      <c r="AU55" s="203">
        <f t="shared" si="157"/>
        <v>201318.79761904763</v>
      </c>
      <c r="AV55" s="203">
        <f t="shared" si="157"/>
        <v>198071.72023809524</v>
      </c>
      <c r="AW55" s="203">
        <f t="shared" si="157"/>
        <v>194824.64285714284</v>
      </c>
      <c r="AX55" s="203">
        <f t="shared" si="157"/>
        <v>191577.56547619047</v>
      </c>
      <c r="AY55" s="203">
        <f t="shared" si="157"/>
        <v>188330.48809523811</v>
      </c>
      <c r="AZ55" s="203">
        <f t="shared" si="157"/>
        <v>185083.41071428571</v>
      </c>
      <c r="BA55" s="203">
        <f t="shared" si="157"/>
        <v>181836.33333333331</v>
      </c>
      <c r="BB55" s="203">
        <f t="shared" si="157"/>
        <v>178589.25595238095</v>
      </c>
      <c r="BC55" s="203">
        <f t="shared" si="157"/>
        <v>175342.17857142858</v>
      </c>
      <c r="BD55" s="47">
        <f t="shared" si="157"/>
        <v>172095.10119047618</v>
      </c>
      <c r="BE55" s="47">
        <f t="shared" si="157"/>
        <v>168848.02380952379</v>
      </c>
      <c r="BF55" s="47">
        <f t="shared" si="157"/>
        <v>165600.94642857142</v>
      </c>
      <c r="BG55" s="47">
        <f t="shared" si="157"/>
        <v>162353.86904761905</v>
      </c>
      <c r="BH55" s="47">
        <f t="shared" si="157"/>
        <v>159106.79166666666</v>
      </c>
      <c r="BI55" s="47">
        <f t="shared" si="157"/>
        <v>155859.71428571426</v>
      </c>
      <c r="BJ55" s="47">
        <f t="shared" si="157"/>
        <v>152612.63690476189</v>
      </c>
      <c r="BK55" s="47">
        <f t="shared" si="157"/>
        <v>149365.55952380953</v>
      </c>
      <c r="BL55" s="47">
        <f t="shared" si="157"/>
        <v>146118.48214285713</v>
      </c>
      <c r="BM55" s="47">
        <f t="shared" si="157"/>
        <v>142871.40476190473</v>
      </c>
      <c r="BN55" s="47">
        <f t="shared" si="157"/>
        <v>139624.32738095237</v>
      </c>
      <c r="BO55" s="47">
        <f t="shared" ref="BO55:CT55" si="158">BO10-BO40</f>
        <v>136377.25</v>
      </c>
      <c r="BP55" s="47">
        <f t="shared" si="158"/>
        <v>133130.17261904763</v>
      </c>
      <c r="BQ55" s="47">
        <f t="shared" si="158"/>
        <v>129883.09523809527</v>
      </c>
      <c r="BR55" s="47">
        <f t="shared" si="158"/>
        <v>126636.0178571429</v>
      </c>
      <c r="BS55" s="47">
        <f t="shared" si="158"/>
        <v>123388.94047619053</v>
      </c>
      <c r="BT55" s="47">
        <f t="shared" si="158"/>
        <v>120141.86309523816</v>
      </c>
      <c r="BU55" s="47">
        <f t="shared" si="158"/>
        <v>116894.7857142858</v>
      </c>
      <c r="BV55" s="47">
        <f t="shared" si="158"/>
        <v>113647.70833333343</v>
      </c>
      <c r="BW55" s="47">
        <f t="shared" si="158"/>
        <v>110400.63095238106</v>
      </c>
      <c r="BX55" s="47">
        <f t="shared" si="158"/>
        <v>107153.5535714287</v>
      </c>
      <c r="BY55" s="47">
        <f t="shared" si="158"/>
        <v>103906.47619047633</v>
      </c>
      <c r="BZ55" s="47">
        <f t="shared" si="158"/>
        <v>100659.39880952396</v>
      </c>
      <c r="CA55" s="47">
        <f t="shared" si="158"/>
        <v>97412.321428571595</v>
      </c>
      <c r="CB55" s="47">
        <f t="shared" si="158"/>
        <v>94165.244047619228</v>
      </c>
      <c r="CC55" s="47">
        <f t="shared" si="158"/>
        <v>90918.166666666861</v>
      </c>
      <c r="CD55" s="47">
        <f t="shared" si="158"/>
        <v>87671.089285714494</v>
      </c>
      <c r="CE55" s="47">
        <f t="shared" si="158"/>
        <v>84424.011904762127</v>
      </c>
      <c r="CF55" s="47">
        <f t="shared" si="158"/>
        <v>81176.934523809759</v>
      </c>
      <c r="CG55" s="47">
        <f t="shared" si="158"/>
        <v>77929.857142857392</v>
      </c>
      <c r="CH55" s="47">
        <f t="shared" si="158"/>
        <v>74682.779761905025</v>
      </c>
      <c r="CI55" s="47">
        <f t="shared" si="158"/>
        <v>71435.702380952658</v>
      </c>
      <c r="CJ55" s="47">
        <f t="shared" si="158"/>
        <v>68188.625000000291</v>
      </c>
      <c r="CK55" s="47">
        <f t="shared" si="158"/>
        <v>64941.547619047924</v>
      </c>
      <c r="CL55" s="47">
        <f t="shared" si="158"/>
        <v>61694.470238095557</v>
      </c>
      <c r="CM55" s="47">
        <f t="shared" si="158"/>
        <v>58447.39285714319</v>
      </c>
      <c r="CN55" s="47">
        <f t="shared" si="158"/>
        <v>55200.315476190823</v>
      </c>
      <c r="CO55" s="47">
        <f t="shared" si="158"/>
        <v>51953.238095238456</v>
      </c>
      <c r="CP55" s="47">
        <f t="shared" si="158"/>
        <v>48706.160714286088</v>
      </c>
      <c r="CQ55" s="47">
        <f t="shared" si="158"/>
        <v>45459.083333333721</v>
      </c>
      <c r="CR55" s="47">
        <f t="shared" si="158"/>
        <v>42212.005952381354</v>
      </c>
      <c r="CS55" s="47">
        <f t="shared" si="158"/>
        <v>38964.928571428987</v>
      </c>
      <c r="CT55" s="47">
        <f t="shared" si="158"/>
        <v>35717.85119047662</v>
      </c>
      <c r="CU55" s="47">
        <f t="shared" ref="CU55:DZ55" si="159">CU10-CU40</f>
        <v>32470.773809524253</v>
      </c>
      <c r="CV55" s="47">
        <f t="shared" si="159"/>
        <v>29223.696428571886</v>
      </c>
      <c r="CW55" s="47">
        <f t="shared" si="159"/>
        <v>25976.619047619519</v>
      </c>
      <c r="CX55" s="47">
        <f t="shared" si="159"/>
        <v>22729.541666667152</v>
      </c>
      <c r="CY55" s="47">
        <f t="shared" si="159"/>
        <v>19482.464285714785</v>
      </c>
      <c r="CZ55" s="47">
        <f t="shared" si="159"/>
        <v>16235.386904762418</v>
      </c>
      <c r="DA55" s="47">
        <f t="shared" si="159"/>
        <v>12988.30952381005</v>
      </c>
      <c r="DB55" s="47">
        <f t="shared" si="159"/>
        <v>9741.2321428576834</v>
      </c>
      <c r="DC55" s="47">
        <f t="shared" si="159"/>
        <v>6494.1547619053163</v>
      </c>
      <c r="DD55" s="47">
        <f t="shared" si="159"/>
        <v>3247.0773809529492</v>
      </c>
      <c r="DE55" s="47">
        <f t="shared" si="159"/>
        <v>5.8207660913467407E-10</v>
      </c>
      <c r="DF55" s="47">
        <f t="shared" si="159"/>
        <v>5.8207660913467407E-10</v>
      </c>
      <c r="DG55" s="47">
        <f t="shared" si="159"/>
        <v>5.8207660913467407E-10</v>
      </c>
      <c r="DH55" s="47">
        <f t="shared" si="159"/>
        <v>5.8207660913467407E-10</v>
      </c>
      <c r="DI55" s="47">
        <f t="shared" si="159"/>
        <v>5.8207660913467407E-10</v>
      </c>
      <c r="DJ55" s="47">
        <f t="shared" si="159"/>
        <v>5.8207660913467407E-10</v>
      </c>
      <c r="DK55" s="47">
        <f t="shared" si="159"/>
        <v>5.8207660913467407E-10</v>
      </c>
      <c r="DL55" s="47">
        <f t="shared" si="159"/>
        <v>5.8207660913467407E-10</v>
      </c>
      <c r="DM55" s="47">
        <f t="shared" si="159"/>
        <v>5.8207660913467407E-10</v>
      </c>
      <c r="DN55" s="47">
        <f t="shared" si="159"/>
        <v>5.8207660913467407E-10</v>
      </c>
      <c r="DO55" s="47">
        <f t="shared" si="159"/>
        <v>5.8207660913467407E-10</v>
      </c>
      <c r="DP55" s="47">
        <f t="shared" si="159"/>
        <v>5.8207660913467407E-10</v>
      </c>
      <c r="DQ55" s="47">
        <f t="shared" si="159"/>
        <v>5.8207660913467407E-10</v>
      </c>
      <c r="DR55" s="47">
        <f t="shared" si="159"/>
        <v>5.8207660913467407E-10</v>
      </c>
      <c r="DS55" s="47">
        <f t="shared" si="159"/>
        <v>5.8207660913467407E-10</v>
      </c>
      <c r="DT55" s="47">
        <f t="shared" si="159"/>
        <v>5.8207660913467407E-10</v>
      </c>
      <c r="DU55" s="47">
        <f t="shared" si="159"/>
        <v>5.8207660913467407E-10</v>
      </c>
      <c r="DV55" s="47">
        <f t="shared" si="159"/>
        <v>5.8207660913467407E-10</v>
      </c>
      <c r="DW55" s="47">
        <f t="shared" si="159"/>
        <v>5.8207660913467407E-10</v>
      </c>
      <c r="DX55" s="47">
        <f t="shared" si="159"/>
        <v>5.8207660913467407E-10</v>
      </c>
      <c r="DY55" s="47">
        <f t="shared" si="159"/>
        <v>5.8207660913467407E-10</v>
      </c>
      <c r="DZ55" s="47">
        <f t="shared" si="159"/>
        <v>5.8207660913467407E-10</v>
      </c>
      <c r="EA55" s="47">
        <f t="shared" ref="EA55:EQ55" si="160">EA10-EA40</f>
        <v>5.8207660913467407E-10</v>
      </c>
      <c r="EB55" s="47">
        <f t="shared" si="160"/>
        <v>5.8207660913467407E-10</v>
      </c>
      <c r="EC55" s="47">
        <f t="shared" si="160"/>
        <v>5.8207660913467407E-10</v>
      </c>
      <c r="ED55" s="47">
        <f t="shared" si="160"/>
        <v>5.8207660913467407E-10</v>
      </c>
      <c r="EE55" s="47">
        <f t="shared" si="160"/>
        <v>5.8207660913467407E-10</v>
      </c>
      <c r="EF55" s="47">
        <f t="shared" si="160"/>
        <v>5.8207660913467407E-10</v>
      </c>
      <c r="EG55" s="47">
        <f t="shared" si="160"/>
        <v>5.8207660913467407E-10</v>
      </c>
      <c r="EH55" s="47">
        <f t="shared" si="160"/>
        <v>5.8207660913467407E-10</v>
      </c>
      <c r="EI55" s="47">
        <f t="shared" si="160"/>
        <v>5.8207660913467407E-10</v>
      </c>
      <c r="EJ55" s="47">
        <f t="shared" si="160"/>
        <v>5.8207660913467407E-10</v>
      </c>
      <c r="EK55" s="47">
        <f t="shared" si="160"/>
        <v>5.8207660913467407E-10</v>
      </c>
      <c r="EL55" s="47">
        <f t="shared" si="160"/>
        <v>5.8207660913467407E-10</v>
      </c>
      <c r="EM55" s="47">
        <f t="shared" si="160"/>
        <v>5.8207660913467407E-10</v>
      </c>
      <c r="EN55" s="47">
        <f t="shared" si="160"/>
        <v>5.8207660913467407E-10</v>
      </c>
      <c r="EO55" s="47">
        <f t="shared" si="160"/>
        <v>5.8207660913467407E-10</v>
      </c>
      <c r="EP55" s="47">
        <f t="shared" si="160"/>
        <v>5.8207660913467407E-10</v>
      </c>
      <c r="EQ55" s="47">
        <f t="shared" si="160"/>
        <v>5.8207660913467407E-10</v>
      </c>
    </row>
    <row r="56" spans="1:147" x14ac:dyDescent="0.3">
      <c r="BE56" s="41"/>
    </row>
    <row r="57" spans="1:147" s="46" customFormat="1" x14ac:dyDescent="0.3">
      <c r="A57" s="52" t="s">
        <v>21</v>
      </c>
      <c r="B57" s="205"/>
      <c r="C57" s="52">
        <f t="shared" ref="C57:AH57" si="161">SUM(C49:C55)</f>
        <v>118943.62190476191</v>
      </c>
      <c r="D57" s="52">
        <f t="shared" si="161"/>
        <v>117378.57428571428</v>
      </c>
      <c r="E57" s="52">
        <f t="shared" si="161"/>
        <v>115813.52666666667</v>
      </c>
      <c r="F57" s="52">
        <f t="shared" si="161"/>
        <v>114248.47904761904</v>
      </c>
      <c r="G57" s="52">
        <f t="shared" si="161"/>
        <v>112683.43142857144</v>
      </c>
      <c r="H57" s="52">
        <f t="shared" si="161"/>
        <v>259332.66952380951</v>
      </c>
      <c r="I57" s="52">
        <f t="shared" si="161"/>
        <v>516831.91642857145</v>
      </c>
      <c r="J57" s="52">
        <f t="shared" si="161"/>
        <v>777025.28809523804</v>
      </c>
      <c r="K57" s="52">
        <f t="shared" si="161"/>
        <v>767318.65976190474</v>
      </c>
      <c r="L57" s="52">
        <f t="shared" si="161"/>
        <v>757612.03142857144</v>
      </c>
      <c r="M57" s="52">
        <f t="shared" si="161"/>
        <v>747905.40309523814</v>
      </c>
      <c r="N57" s="52">
        <f t="shared" si="161"/>
        <v>738198.77476190473</v>
      </c>
      <c r="O57" s="52">
        <f t="shared" si="161"/>
        <v>728492.14642857155</v>
      </c>
      <c r="P57" s="52">
        <f t="shared" si="161"/>
        <v>718785.51809523813</v>
      </c>
      <c r="Q57" s="52">
        <f t="shared" si="161"/>
        <v>709078.88976190472</v>
      </c>
      <c r="R57" s="52">
        <f t="shared" si="161"/>
        <v>699372.26142857142</v>
      </c>
      <c r="S57" s="52">
        <f t="shared" si="161"/>
        <v>689665.63309523812</v>
      </c>
      <c r="T57" s="52">
        <f t="shared" si="161"/>
        <v>679959.00476190483</v>
      </c>
      <c r="U57" s="52">
        <f t="shared" si="161"/>
        <v>642052.43023809534</v>
      </c>
      <c r="V57" s="52">
        <f t="shared" si="161"/>
        <v>632727.57571428572</v>
      </c>
      <c r="W57" s="52">
        <f t="shared" si="161"/>
        <v>623402.72119047632</v>
      </c>
      <c r="X57" s="52">
        <f t="shared" si="161"/>
        <v>593501.0795238096</v>
      </c>
      <c r="Y57" s="52">
        <f t="shared" si="161"/>
        <v>584505.36785714293</v>
      </c>
      <c r="Z57" s="52">
        <f t="shared" si="161"/>
        <v>983350.41214285721</v>
      </c>
      <c r="AA57" s="52">
        <f t="shared" si="161"/>
        <v>969440.95642857149</v>
      </c>
      <c r="AB57" s="52">
        <f t="shared" si="161"/>
        <v>955531.50071428576</v>
      </c>
      <c r="AC57" s="52">
        <f t="shared" si="161"/>
        <v>941622.04500000016</v>
      </c>
      <c r="AD57" s="52">
        <f t="shared" si="161"/>
        <v>927712.5892857142</v>
      </c>
      <c r="AE57" s="52">
        <f t="shared" si="161"/>
        <v>913803.1335714286</v>
      </c>
      <c r="AF57" s="52">
        <f t="shared" si="161"/>
        <v>899893.67785714287</v>
      </c>
      <c r="AG57" s="52">
        <f t="shared" si="161"/>
        <v>885984.22214285715</v>
      </c>
      <c r="AH57" s="52">
        <f t="shared" si="161"/>
        <v>872074.76642857143</v>
      </c>
      <c r="AI57" s="52">
        <f t="shared" ref="AI57:BR57" si="162">SUM(AI49:AI55)</f>
        <v>858165.31071428582</v>
      </c>
      <c r="AJ57" s="52">
        <f t="shared" si="162"/>
        <v>844255.85499999998</v>
      </c>
      <c r="AK57" s="52">
        <f t="shared" si="162"/>
        <v>797846.39309523813</v>
      </c>
      <c r="AL57" s="52">
        <f t="shared" si="162"/>
        <v>784710.74690476188</v>
      </c>
      <c r="AM57" s="52">
        <f t="shared" si="162"/>
        <v>771575.10071428563</v>
      </c>
      <c r="AN57" s="52">
        <f t="shared" si="162"/>
        <v>758439.45452380949</v>
      </c>
      <c r="AO57" s="52">
        <f t="shared" si="162"/>
        <v>745303.80833333335</v>
      </c>
      <c r="AP57" s="52">
        <f t="shared" si="162"/>
        <v>719297.89976190473</v>
      </c>
      <c r="AQ57" s="52">
        <f t="shared" si="162"/>
        <v>706334.23119047622</v>
      </c>
      <c r="AR57" s="206">
        <f t="shared" si="162"/>
        <v>693370.56261904759</v>
      </c>
      <c r="AS57" s="206">
        <f t="shared" si="162"/>
        <v>680406.89404761908</v>
      </c>
      <c r="AT57" s="206">
        <f t="shared" si="162"/>
        <v>667443.22547619045</v>
      </c>
      <c r="AU57" s="206">
        <f t="shared" si="162"/>
        <v>654479.55690476194</v>
      </c>
      <c r="AV57" s="206">
        <f t="shared" si="162"/>
        <v>641515.88833333331</v>
      </c>
      <c r="AW57" s="206">
        <f t="shared" si="162"/>
        <v>628552.21976190479</v>
      </c>
      <c r="AX57" s="206">
        <f t="shared" si="162"/>
        <v>615588.55119047617</v>
      </c>
      <c r="AY57" s="206">
        <f t="shared" si="162"/>
        <v>602624.88261904765</v>
      </c>
      <c r="AZ57" s="206">
        <f t="shared" si="162"/>
        <v>589661.21404761903</v>
      </c>
      <c r="BA57" s="206">
        <f t="shared" si="162"/>
        <v>576697.54547619051</v>
      </c>
      <c r="BB57" s="206">
        <f t="shared" si="162"/>
        <v>563733.87690476188</v>
      </c>
      <c r="BC57" s="206">
        <f t="shared" si="162"/>
        <v>550770.20833333326</v>
      </c>
      <c r="BD57" s="52">
        <f t="shared" si="162"/>
        <v>537806.53976190474</v>
      </c>
      <c r="BE57" s="52">
        <f t="shared" si="162"/>
        <v>524842.87119047623</v>
      </c>
      <c r="BF57" s="52">
        <f t="shared" si="162"/>
        <v>511879.20261904766</v>
      </c>
      <c r="BG57" s="52">
        <f t="shared" si="162"/>
        <v>498915.53404761909</v>
      </c>
      <c r="BH57" s="52">
        <f t="shared" si="162"/>
        <v>485951.86547619046</v>
      </c>
      <c r="BI57" s="52">
        <f t="shared" si="162"/>
        <v>472988.19690476189</v>
      </c>
      <c r="BJ57" s="52">
        <f t="shared" si="162"/>
        <v>460024.52833333332</v>
      </c>
      <c r="BK57" s="52">
        <f t="shared" si="162"/>
        <v>447060.85976190481</v>
      </c>
      <c r="BL57" s="52">
        <f t="shared" si="162"/>
        <v>434097.19119047618</v>
      </c>
      <c r="BM57" s="52">
        <f t="shared" si="162"/>
        <v>421133.52261904761</v>
      </c>
      <c r="BN57" s="52">
        <f t="shared" si="162"/>
        <v>408169.85404761904</v>
      </c>
      <c r="BO57" s="52">
        <f t="shared" si="162"/>
        <v>395206.18547619053</v>
      </c>
      <c r="BP57" s="52">
        <f t="shared" si="162"/>
        <v>382242.51690476196</v>
      </c>
      <c r="BQ57" s="52">
        <f t="shared" si="162"/>
        <v>369278.84833333339</v>
      </c>
      <c r="BR57" s="52">
        <f t="shared" si="162"/>
        <v>356315.17976190482</v>
      </c>
      <c r="BS57" s="52">
        <f>SUM(BS49:BS55)-8932.46</f>
        <v>334419.05119047622</v>
      </c>
      <c r="BT57" s="52">
        <f>SUM(BT49:BT55)-7145.97</f>
        <v>323241.8726190477</v>
      </c>
      <c r="BU57" s="52">
        <f>SUM(BU49:BU55)-5359.48</f>
        <v>312064.69404761912</v>
      </c>
      <c r="BV57" s="52">
        <f>SUM(BV49:BV55)-3572.99</f>
        <v>300887.51547619054</v>
      </c>
      <c r="BW57" s="52">
        <f>SUM(BW49:BW55)-1786.5</f>
        <v>289710.33690476196</v>
      </c>
      <c r="BX57" s="52">
        <f t="shared" ref="BX57:DC57" si="163">SUM(BX49:BX55)</f>
        <v>278533.16833333345</v>
      </c>
      <c r="BY57" s="52">
        <f t="shared" si="163"/>
        <v>265569.49976190482</v>
      </c>
      <c r="BZ57" s="52">
        <f t="shared" si="163"/>
        <v>252605.83119047631</v>
      </c>
      <c r="CA57" s="52">
        <f t="shared" si="163"/>
        <v>239642.16261904774</v>
      </c>
      <c r="CB57" s="52">
        <f t="shared" si="163"/>
        <v>227469.73214285728</v>
      </c>
      <c r="CC57" s="52">
        <f t="shared" si="163"/>
        <v>215297.30166666678</v>
      </c>
      <c r="CD57" s="52">
        <f t="shared" si="163"/>
        <v>203124.87119047629</v>
      </c>
      <c r="CE57" s="52">
        <f t="shared" si="163"/>
        <v>190952.44071428583</v>
      </c>
      <c r="CF57" s="52">
        <f t="shared" si="163"/>
        <v>178780.01023809536</v>
      </c>
      <c r="CG57" s="52">
        <f t="shared" si="163"/>
        <v>166607.5797619049</v>
      </c>
      <c r="CH57" s="52">
        <f t="shared" si="163"/>
        <v>154435.1492857144</v>
      </c>
      <c r="CI57" s="52">
        <f t="shared" si="163"/>
        <v>142262.71880952391</v>
      </c>
      <c r="CJ57" s="52">
        <f t="shared" si="163"/>
        <v>130090.28833333345</v>
      </c>
      <c r="CK57" s="52">
        <f t="shared" si="163"/>
        <v>117917.85785714297</v>
      </c>
      <c r="CL57" s="52">
        <f t="shared" si="163"/>
        <v>105745.42738095249</v>
      </c>
      <c r="CM57" s="52">
        <f t="shared" si="163"/>
        <v>93572.996904761982</v>
      </c>
      <c r="CN57" s="52">
        <f t="shared" si="163"/>
        <v>82303.386428571801</v>
      </c>
      <c r="CO57" s="52">
        <f t="shared" si="163"/>
        <v>74176.547142857497</v>
      </c>
      <c r="CP57" s="52">
        <f t="shared" si="163"/>
        <v>69262.803095238458</v>
      </c>
      <c r="CQ57" s="52">
        <f t="shared" si="163"/>
        <v>64349.059047619419</v>
      </c>
      <c r="CR57" s="52">
        <f t="shared" si="163"/>
        <v>59435.315000000381</v>
      </c>
      <c r="CS57" s="52">
        <f t="shared" si="163"/>
        <v>54521.570952381342</v>
      </c>
      <c r="CT57" s="52">
        <f t="shared" si="163"/>
        <v>49607.826904762303</v>
      </c>
      <c r="CU57" s="52">
        <f t="shared" si="163"/>
        <v>44694.082857143265</v>
      </c>
      <c r="CV57" s="52">
        <f t="shared" si="163"/>
        <v>39780.338809524226</v>
      </c>
      <c r="CW57" s="52">
        <f t="shared" si="163"/>
        <v>34866.594761905188</v>
      </c>
      <c r="CX57" s="52">
        <f t="shared" si="163"/>
        <v>29952.850714286149</v>
      </c>
      <c r="CY57" s="52">
        <f t="shared" si="163"/>
        <v>25039.10666666711</v>
      </c>
      <c r="CZ57" s="52">
        <f t="shared" si="163"/>
        <v>20125.362619048086</v>
      </c>
      <c r="DA57" s="52">
        <f t="shared" si="163"/>
        <v>15211.618571429062</v>
      </c>
      <c r="DB57" s="52">
        <f t="shared" si="163"/>
        <v>10297.874523810038</v>
      </c>
      <c r="DC57" s="52">
        <f t="shared" si="163"/>
        <v>5384.1304761910142</v>
      </c>
      <c r="DD57" s="52">
        <f t="shared" ref="DD57:EI57" si="164">SUM(DD49:DD55)</f>
        <v>470.38642857199011</v>
      </c>
      <c r="DE57" s="52">
        <f t="shared" si="164"/>
        <v>-4443.3576190469466</v>
      </c>
      <c r="DF57" s="52">
        <f t="shared" si="164"/>
        <v>-4443.3576190469466</v>
      </c>
      <c r="DG57" s="52">
        <f t="shared" si="164"/>
        <v>-4443.3576190469466</v>
      </c>
      <c r="DH57" s="52">
        <f t="shared" si="164"/>
        <v>-4443.3576190469466</v>
      </c>
      <c r="DI57" s="52">
        <f t="shared" si="164"/>
        <v>-4443.3576190469466</v>
      </c>
      <c r="DJ57" s="52">
        <f t="shared" si="164"/>
        <v>-4443.3576190469466</v>
      </c>
      <c r="DK57" s="52">
        <f t="shared" si="164"/>
        <v>-4443.3576190469466</v>
      </c>
      <c r="DL57" s="52">
        <f t="shared" si="164"/>
        <v>-4443.3576190469466</v>
      </c>
      <c r="DM57" s="52">
        <f t="shared" si="164"/>
        <v>-4443.3576190469466</v>
      </c>
      <c r="DN57" s="52">
        <f t="shared" si="164"/>
        <v>-4443.3576190469466</v>
      </c>
      <c r="DO57" s="52">
        <f t="shared" si="164"/>
        <v>-4443.3576190469466</v>
      </c>
      <c r="DP57" s="52">
        <f t="shared" si="164"/>
        <v>-4443.3576190469466</v>
      </c>
      <c r="DQ57" s="52">
        <f t="shared" si="164"/>
        <v>-4443.3576190469466</v>
      </c>
      <c r="DR57" s="52">
        <f t="shared" si="164"/>
        <v>-4443.3576190469466</v>
      </c>
      <c r="DS57" s="52">
        <f t="shared" si="164"/>
        <v>-4443.3576190469466</v>
      </c>
      <c r="DT57" s="52">
        <f t="shared" si="164"/>
        <v>-4443.3576190469466</v>
      </c>
      <c r="DU57" s="52">
        <f t="shared" si="164"/>
        <v>-4443.3576190469466</v>
      </c>
      <c r="DV57" s="52">
        <f t="shared" si="164"/>
        <v>-4443.3576190469466</v>
      </c>
      <c r="DW57" s="52">
        <f t="shared" si="164"/>
        <v>-4443.3576190469466</v>
      </c>
      <c r="DX57" s="52">
        <f t="shared" si="164"/>
        <v>-4443.3576190469466</v>
      </c>
      <c r="DY57" s="52">
        <f t="shared" si="164"/>
        <v>-4443.3576190469466</v>
      </c>
      <c r="DZ57" s="52">
        <f t="shared" si="164"/>
        <v>-4443.3576190469466</v>
      </c>
      <c r="EA57" s="52">
        <f t="shared" si="164"/>
        <v>-4443.3576190469466</v>
      </c>
      <c r="EB57" s="52">
        <f t="shared" si="164"/>
        <v>-4443.3576190469466</v>
      </c>
      <c r="EC57" s="52">
        <f t="shared" si="164"/>
        <v>-4443.3576190469466</v>
      </c>
      <c r="ED57" s="52">
        <f t="shared" si="164"/>
        <v>-4443.3576190469466</v>
      </c>
      <c r="EE57" s="52">
        <f t="shared" si="164"/>
        <v>-4443.3576190469466</v>
      </c>
      <c r="EF57" s="52">
        <f t="shared" si="164"/>
        <v>-4443.3576190469466</v>
      </c>
      <c r="EG57" s="52">
        <f t="shared" si="164"/>
        <v>-4443.3576190469466</v>
      </c>
      <c r="EH57" s="52">
        <f t="shared" si="164"/>
        <v>-4443.3576190469466</v>
      </c>
      <c r="EI57" s="52">
        <f t="shared" si="164"/>
        <v>-4443.3576190469466</v>
      </c>
      <c r="EJ57" s="52">
        <f t="shared" ref="EJ57:EQ57" si="165">SUM(EJ49:EJ55)</f>
        <v>-4443.3576190469466</v>
      </c>
      <c r="EK57" s="52">
        <f t="shared" si="165"/>
        <v>-4443.3576190469466</v>
      </c>
      <c r="EL57" s="52">
        <f t="shared" si="165"/>
        <v>-4443.3576190469466</v>
      </c>
      <c r="EM57" s="52">
        <f t="shared" si="165"/>
        <v>-4443.3576190469466</v>
      </c>
      <c r="EN57" s="52">
        <f t="shared" si="165"/>
        <v>-4443.3576190469466</v>
      </c>
      <c r="EO57" s="52">
        <f t="shared" si="165"/>
        <v>-4443.3576190469466</v>
      </c>
      <c r="EP57" s="52">
        <f t="shared" si="165"/>
        <v>-4443.3576190469466</v>
      </c>
      <c r="EQ57" s="52">
        <f t="shared" si="165"/>
        <v>-4443.3576190469466</v>
      </c>
    </row>
    <row r="58" spans="1:147" x14ac:dyDescent="0.3">
      <c r="A58" s="41" t="s">
        <v>125</v>
      </c>
      <c r="AL58" s="200"/>
      <c r="AP58" s="45"/>
      <c r="BS58" s="200"/>
    </row>
    <row r="59" spans="1:147" x14ac:dyDescent="0.3">
      <c r="AL59" s="200"/>
      <c r="AM59" s="200"/>
    </row>
    <row r="60" spans="1:147" x14ac:dyDescent="0.3">
      <c r="BU60" s="45"/>
      <c r="BV60" s="45"/>
      <c r="BW60" s="45"/>
      <c r="BX60" s="45"/>
    </row>
    <row r="61" spans="1:147" x14ac:dyDescent="0.3">
      <c r="BS61" s="200"/>
      <c r="BT61" s="200"/>
      <c r="BU61" s="201"/>
      <c r="BV61" s="201"/>
      <c r="BW61" s="201"/>
      <c r="BX61" s="201"/>
    </row>
    <row r="62" spans="1:147" x14ac:dyDescent="0.3">
      <c r="BS62" s="200"/>
      <c r="BT62" s="200"/>
      <c r="BU62" s="201"/>
      <c r="BV62" s="201"/>
      <c r="BW62" s="201"/>
      <c r="BX62" s="201"/>
    </row>
    <row r="63" spans="1:147" x14ac:dyDescent="0.3">
      <c r="BS63" s="200"/>
      <c r="BT63" s="200"/>
      <c r="BU63" s="200"/>
      <c r="BV63" s="200"/>
      <c r="BW63" s="200"/>
      <c r="BX63" s="200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37AF-EB14-40A9-94DE-9D0489C7567E}">
  <sheetPr>
    <tabColor rgb="FF92D050"/>
  </sheetPr>
  <dimension ref="A1:O188"/>
  <sheetViews>
    <sheetView topLeftCell="A40" workbookViewId="0">
      <selection activeCell="A60" sqref="A60:XFD60"/>
    </sheetView>
  </sheetViews>
  <sheetFormatPr defaultRowHeight="14.4" x14ac:dyDescent="0.3"/>
  <cols>
    <col min="1" max="1" width="21.88671875" style="9" bestFit="1" customWidth="1"/>
    <col min="2" max="3" width="11.5546875" style="9" bestFit="1" customWidth="1"/>
    <col min="4" max="4" width="14.6640625" bestFit="1" customWidth="1"/>
    <col min="13" max="13" width="9.109375" bestFit="1" customWidth="1"/>
  </cols>
  <sheetData>
    <row r="1" spans="1:15" x14ac:dyDescent="0.3">
      <c r="A1" s="9" t="s">
        <v>122</v>
      </c>
    </row>
    <row r="3" spans="1:15" x14ac:dyDescent="0.3">
      <c r="A3" s="9" t="s">
        <v>123</v>
      </c>
      <c r="B3" s="9">
        <v>174500</v>
      </c>
    </row>
    <row r="4" spans="1:15" x14ac:dyDescent="0.3">
      <c r="B4" s="9">
        <f>15*12</f>
        <v>180</v>
      </c>
    </row>
    <row r="5" spans="1:15" x14ac:dyDescent="0.3">
      <c r="A5" s="9" t="s">
        <v>124</v>
      </c>
      <c r="B5" s="9">
        <f>B3/B4</f>
        <v>969.44444444444446</v>
      </c>
    </row>
    <row r="6" spans="1:15" x14ac:dyDescent="0.3">
      <c r="A6" s="9" t="s">
        <v>133</v>
      </c>
      <c r="B6" s="9">
        <f>-SUM(B8:B47)</f>
        <v>38760</v>
      </c>
      <c r="C6" s="9" t="s">
        <v>294</v>
      </c>
      <c r="D6" t="s">
        <v>295</v>
      </c>
      <c r="M6" s="51"/>
      <c r="O6" s="51"/>
    </row>
    <row r="7" spans="1:15" x14ac:dyDescent="0.3">
      <c r="C7" s="9">
        <f>B3</f>
        <v>174500</v>
      </c>
    </row>
    <row r="8" spans="1:15" x14ac:dyDescent="0.3">
      <c r="A8" s="83">
        <v>44409</v>
      </c>
      <c r="B8" s="9">
        <v>-969</v>
      </c>
      <c r="C8" s="9">
        <f>C7+B8</f>
        <v>173531</v>
      </c>
      <c r="D8" s="11">
        <f>-B8</f>
        <v>969</v>
      </c>
    </row>
    <row r="9" spans="1:15" x14ac:dyDescent="0.3">
      <c r="A9" s="83">
        <v>44440</v>
      </c>
      <c r="B9" s="9">
        <v>-969</v>
      </c>
      <c r="C9" s="9">
        <f t="shared" ref="C9:C72" si="0">C8+B9</f>
        <v>172562</v>
      </c>
      <c r="D9" s="11">
        <f>D8-B9</f>
        <v>1938</v>
      </c>
    </row>
    <row r="10" spans="1:15" x14ac:dyDescent="0.3">
      <c r="A10" s="83">
        <v>44470</v>
      </c>
      <c r="B10" s="9">
        <v>-969</v>
      </c>
      <c r="C10" s="9">
        <f t="shared" si="0"/>
        <v>171593</v>
      </c>
      <c r="D10" s="11">
        <f t="shared" ref="D10:D73" si="1">D9-B10</f>
        <v>2907</v>
      </c>
      <c r="M10" s="9"/>
    </row>
    <row r="11" spans="1:15" x14ac:dyDescent="0.3">
      <c r="A11" s="83">
        <v>44501</v>
      </c>
      <c r="B11" s="9">
        <v>-969</v>
      </c>
      <c r="C11" s="9">
        <f t="shared" si="0"/>
        <v>170624</v>
      </c>
      <c r="D11" s="11">
        <f t="shared" si="1"/>
        <v>3876</v>
      </c>
    </row>
    <row r="12" spans="1:15" x14ac:dyDescent="0.3">
      <c r="A12" s="83">
        <v>44531</v>
      </c>
      <c r="B12" s="9">
        <v>-969</v>
      </c>
      <c r="C12" s="9">
        <f t="shared" si="0"/>
        <v>169655</v>
      </c>
      <c r="D12" s="11">
        <f t="shared" si="1"/>
        <v>4845</v>
      </c>
    </row>
    <row r="13" spans="1:15" x14ac:dyDescent="0.3">
      <c r="A13" s="83">
        <v>44562</v>
      </c>
      <c r="B13" s="9">
        <v>-969</v>
      </c>
      <c r="C13" s="9">
        <f t="shared" si="0"/>
        <v>168686</v>
      </c>
      <c r="D13" s="11">
        <f t="shared" si="1"/>
        <v>5814</v>
      </c>
    </row>
    <row r="14" spans="1:15" x14ac:dyDescent="0.3">
      <c r="A14" s="83">
        <v>44593</v>
      </c>
      <c r="B14" s="9">
        <v>-969</v>
      </c>
      <c r="C14" s="9">
        <f t="shared" si="0"/>
        <v>167717</v>
      </c>
      <c r="D14" s="11">
        <f t="shared" si="1"/>
        <v>6783</v>
      </c>
    </row>
    <row r="15" spans="1:15" x14ac:dyDescent="0.3">
      <c r="A15" s="83">
        <v>44621</v>
      </c>
      <c r="B15" s="9">
        <v>-969</v>
      </c>
      <c r="C15" s="9">
        <f t="shared" si="0"/>
        <v>166748</v>
      </c>
      <c r="D15" s="11">
        <f t="shared" si="1"/>
        <v>7752</v>
      </c>
    </row>
    <row r="16" spans="1:15" x14ac:dyDescent="0.3">
      <c r="A16" s="83">
        <v>44652</v>
      </c>
      <c r="B16" s="9">
        <v>-969</v>
      </c>
      <c r="C16" s="9">
        <f t="shared" si="0"/>
        <v>165779</v>
      </c>
      <c r="D16" s="11">
        <f t="shared" si="1"/>
        <v>8721</v>
      </c>
    </row>
    <row r="17" spans="1:4" x14ac:dyDescent="0.3">
      <c r="A17" s="83">
        <v>44682</v>
      </c>
      <c r="B17" s="9">
        <v>-969</v>
      </c>
      <c r="C17" s="9">
        <f t="shared" si="0"/>
        <v>164810</v>
      </c>
      <c r="D17" s="11">
        <f t="shared" si="1"/>
        <v>9690</v>
      </c>
    </row>
    <row r="18" spans="1:4" x14ac:dyDescent="0.3">
      <c r="A18" s="83">
        <v>44713</v>
      </c>
      <c r="B18" s="9">
        <v>-969</v>
      </c>
      <c r="C18" s="9">
        <f t="shared" si="0"/>
        <v>163841</v>
      </c>
      <c r="D18" s="11">
        <f t="shared" si="1"/>
        <v>10659</v>
      </c>
    </row>
    <row r="19" spans="1:4" x14ac:dyDescent="0.3">
      <c r="A19" s="83">
        <v>44743</v>
      </c>
      <c r="B19" s="9">
        <v>-969</v>
      </c>
      <c r="C19" s="9">
        <f t="shared" si="0"/>
        <v>162872</v>
      </c>
      <c r="D19" s="11">
        <f t="shared" si="1"/>
        <v>11628</v>
      </c>
    </row>
    <row r="20" spans="1:4" x14ac:dyDescent="0.3">
      <c r="A20" s="83">
        <v>44774</v>
      </c>
      <c r="B20" s="9">
        <v>-969</v>
      </c>
      <c r="C20" s="9">
        <f t="shared" si="0"/>
        <v>161903</v>
      </c>
      <c r="D20" s="11">
        <f t="shared" si="1"/>
        <v>12597</v>
      </c>
    </row>
    <row r="21" spans="1:4" x14ac:dyDescent="0.3">
      <c r="A21" s="83">
        <v>44805</v>
      </c>
      <c r="B21" s="9">
        <v>-969</v>
      </c>
      <c r="C21" s="9">
        <f t="shared" si="0"/>
        <v>160934</v>
      </c>
      <c r="D21" s="11">
        <f t="shared" si="1"/>
        <v>13566</v>
      </c>
    </row>
    <row r="22" spans="1:4" x14ac:dyDescent="0.3">
      <c r="A22" s="83">
        <v>44835</v>
      </c>
      <c r="B22" s="9">
        <v>-969</v>
      </c>
      <c r="C22" s="9">
        <f t="shared" si="0"/>
        <v>159965</v>
      </c>
      <c r="D22" s="11">
        <f t="shared" si="1"/>
        <v>14535</v>
      </c>
    </row>
    <row r="23" spans="1:4" x14ac:dyDescent="0.3">
      <c r="A23" s="83">
        <v>44866</v>
      </c>
      <c r="B23" s="9">
        <v>-969</v>
      </c>
      <c r="C23" s="9">
        <f t="shared" si="0"/>
        <v>158996</v>
      </c>
      <c r="D23" s="11">
        <f t="shared" si="1"/>
        <v>15504</v>
      </c>
    </row>
    <row r="24" spans="1:4" x14ac:dyDescent="0.3">
      <c r="A24" s="83">
        <v>44896</v>
      </c>
      <c r="B24" s="9">
        <v>-969</v>
      </c>
      <c r="C24" s="9">
        <f t="shared" si="0"/>
        <v>158027</v>
      </c>
      <c r="D24" s="11">
        <f t="shared" si="1"/>
        <v>16473</v>
      </c>
    </row>
    <row r="25" spans="1:4" x14ac:dyDescent="0.3">
      <c r="A25" s="197">
        <v>44927</v>
      </c>
      <c r="B25" s="196">
        <v>-969</v>
      </c>
      <c r="C25" s="196">
        <f t="shared" si="0"/>
        <v>157058</v>
      </c>
      <c r="D25" s="11">
        <f t="shared" si="1"/>
        <v>17442</v>
      </c>
    </row>
    <row r="26" spans="1:4" x14ac:dyDescent="0.3">
      <c r="A26" s="197">
        <v>44958</v>
      </c>
      <c r="B26" s="196">
        <v>-969</v>
      </c>
      <c r="C26" s="196">
        <f t="shared" si="0"/>
        <v>156089</v>
      </c>
      <c r="D26" s="11">
        <f t="shared" si="1"/>
        <v>18411</v>
      </c>
    </row>
    <row r="27" spans="1:4" x14ac:dyDescent="0.3">
      <c r="A27" s="197">
        <v>44986</v>
      </c>
      <c r="B27" s="196">
        <v>-969</v>
      </c>
      <c r="C27" s="196">
        <f t="shared" si="0"/>
        <v>155120</v>
      </c>
      <c r="D27" s="11">
        <f t="shared" si="1"/>
        <v>19380</v>
      </c>
    </row>
    <row r="28" spans="1:4" x14ac:dyDescent="0.3">
      <c r="A28" s="197">
        <v>45017</v>
      </c>
      <c r="B28" s="196">
        <v>-969</v>
      </c>
      <c r="C28" s="196">
        <f t="shared" si="0"/>
        <v>154151</v>
      </c>
      <c r="D28" s="11">
        <f t="shared" si="1"/>
        <v>20349</v>
      </c>
    </row>
    <row r="29" spans="1:4" x14ac:dyDescent="0.3">
      <c r="A29" s="197">
        <v>45047</v>
      </c>
      <c r="B29" s="196">
        <v>-969</v>
      </c>
      <c r="C29" s="196">
        <f t="shared" si="0"/>
        <v>153182</v>
      </c>
      <c r="D29" s="11">
        <f t="shared" si="1"/>
        <v>21318</v>
      </c>
    </row>
    <row r="30" spans="1:4" x14ac:dyDescent="0.3">
      <c r="A30" s="197">
        <v>45078</v>
      </c>
      <c r="B30" s="196">
        <v>-969</v>
      </c>
      <c r="C30" s="196">
        <f t="shared" si="0"/>
        <v>152213</v>
      </c>
      <c r="D30" s="11">
        <f t="shared" si="1"/>
        <v>22287</v>
      </c>
    </row>
    <row r="31" spans="1:4" x14ac:dyDescent="0.3">
      <c r="A31" s="197">
        <v>45108</v>
      </c>
      <c r="B31" s="196">
        <v>-969</v>
      </c>
      <c r="C31" s="196">
        <f t="shared" si="0"/>
        <v>151244</v>
      </c>
      <c r="D31" s="11">
        <f t="shared" si="1"/>
        <v>23256</v>
      </c>
    </row>
    <row r="32" spans="1:4" x14ac:dyDescent="0.3">
      <c r="A32" s="197">
        <v>45139</v>
      </c>
      <c r="B32" s="196">
        <v>-969</v>
      </c>
      <c r="C32" s="196">
        <f t="shared" si="0"/>
        <v>150275</v>
      </c>
      <c r="D32" s="11">
        <f t="shared" si="1"/>
        <v>24225</v>
      </c>
    </row>
    <row r="33" spans="1:4" x14ac:dyDescent="0.3">
      <c r="A33" s="197">
        <v>45170</v>
      </c>
      <c r="B33" s="196">
        <v>-969</v>
      </c>
      <c r="C33" s="196">
        <f t="shared" si="0"/>
        <v>149306</v>
      </c>
      <c r="D33" s="11">
        <f t="shared" si="1"/>
        <v>25194</v>
      </c>
    </row>
    <row r="34" spans="1:4" x14ac:dyDescent="0.3">
      <c r="A34" s="197">
        <v>45200</v>
      </c>
      <c r="B34" s="196">
        <v>-969</v>
      </c>
      <c r="C34" s="196">
        <f t="shared" si="0"/>
        <v>148337</v>
      </c>
      <c r="D34" s="11">
        <f t="shared" si="1"/>
        <v>26163</v>
      </c>
    </row>
    <row r="35" spans="1:4" x14ac:dyDescent="0.3">
      <c r="A35" s="197">
        <v>45231</v>
      </c>
      <c r="B35" s="196">
        <v>-969</v>
      </c>
      <c r="C35" s="196">
        <f t="shared" si="0"/>
        <v>147368</v>
      </c>
      <c r="D35" s="11">
        <f t="shared" si="1"/>
        <v>27132</v>
      </c>
    </row>
    <row r="36" spans="1:4" x14ac:dyDescent="0.3">
      <c r="A36" s="197">
        <v>45261</v>
      </c>
      <c r="B36" s="196">
        <v>-969</v>
      </c>
      <c r="C36" s="196">
        <f t="shared" si="0"/>
        <v>146399</v>
      </c>
      <c r="D36" s="11">
        <f t="shared" si="1"/>
        <v>28101</v>
      </c>
    </row>
    <row r="37" spans="1:4" x14ac:dyDescent="0.3">
      <c r="A37" s="197">
        <v>45292</v>
      </c>
      <c r="B37" s="196">
        <v>-969</v>
      </c>
      <c r="C37" s="196">
        <f t="shared" si="0"/>
        <v>145430</v>
      </c>
      <c r="D37" s="11">
        <f t="shared" si="1"/>
        <v>29070</v>
      </c>
    </row>
    <row r="38" spans="1:4" x14ac:dyDescent="0.3">
      <c r="A38" s="197">
        <v>45323</v>
      </c>
      <c r="B38" s="196">
        <v>-969</v>
      </c>
      <c r="C38" s="196">
        <f t="shared" si="0"/>
        <v>144461</v>
      </c>
      <c r="D38" s="11">
        <f t="shared" si="1"/>
        <v>30039</v>
      </c>
    </row>
    <row r="39" spans="1:4" x14ac:dyDescent="0.3">
      <c r="A39" s="197">
        <v>45352</v>
      </c>
      <c r="B39" s="196">
        <v>-969</v>
      </c>
      <c r="C39" s="196">
        <f t="shared" si="0"/>
        <v>143492</v>
      </c>
      <c r="D39" s="11">
        <f t="shared" si="1"/>
        <v>31008</v>
      </c>
    </row>
    <row r="40" spans="1:4" x14ac:dyDescent="0.3">
      <c r="A40" s="197">
        <v>45383</v>
      </c>
      <c r="B40" s="196">
        <v>-969</v>
      </c>
      <c r="C40" s="196">
        <f t="shared" si="0"/>
        <v>142523</v>
      </c>
      <c r="D40" s="11">
        <f t="shared" si="1"/>
        <v>31977</v>
      </c>
    </row>
    <row r="41" spans="1:4" x14ac:dyDescent="0.3">
      <c r="A41" s="197">
        <v>45413</v>
      </c>
      <c r="B41" s="196">
        <v>-969</v>
      </c>
      <c r="C41" s="196">
        <f t="shared" si="0"/>
        <v>141554</v>
      </c>
      <c r="D41" s="11">
        <f t="shared" si="1"/>
        <v>32946</v>
      </c>
    </row>
    <row r="42" spans="1:4" x14ac:dyDescent="0.3">
      <c r="A42" s="197">
        <v>45444</v>
      </c>
      <c r="B42" s="196">
        <v>-969</v>
      </c>
      <c r="C42" s="196">
        <f t="shared" si="0"/>
        <v>140585</v>
      </c>
      <c r="D42" s="11">
        <f t="shared" si="1"/>
        <v>33915</v>
      </c>
    </row>
    <row r="43" spans="1:4" x14ac:dyDescent="0.3">
      <c r="A43" s="197">
        <v>45474</v>
      </c>
      <c r="B43" s="196">
        <v>-969</v>
      </c>
      <c r="C43" s="196">
        <f t="shared" si="0"/>
        <v>139616</v>
      </c>
      <c r="D43" s="11">
        <f t="shared" si="1"/>
        <v>34884</v>
      </c>
    </row>
    <row r="44" spans="1:4" x14ac:dyDescent="0.3">
      <c r="A44" s="197">
        <v>45505</v>
      </c>
      <c r="B44" s="196">
        <v>-969</v>
      </c>
      <c r="C44" s="196">
        <f t="shared" si="0"/>
        <v>138647</v>
      </c>
      <c r="D44" s="11">
        <f t="shared" si="1"/>
        <v>35853</v>
      </c>
    </row>
    <row r="45" spans="1:4" x14ac:dyDescent="0.3">
      <c r="A45" s="268">
        <v>45536</v>
      </c>
      <c r="B45" s="269">
        <v>-969</v>
      </c>
      <c r="C45" s="269">
        <f t="shared" si="0"/>
        <v>137678</v>
      </c>
      <c r="D45" s="11">
        <f t="shared" si="1"/>
        <v>36822</v>
      </c>
    </row>
    <row r="46" spans="1:4" x14ac:dyDescent="0.3">
      <c r="A46" s="268">
        <v>45566</v>
      </c>
      <c r="B46" s="269">
        <v>-969</v>
      </c>
      <c r="C46" s="269">
        <f t="shared" si="0"/>
        <v>136709</v>
      </c>
      <c r="D46" s="11">
        <f t="shared" si="1"/>
        <v>37791</v>
      </c>
    </row>
    <row r="47" spans="1:4" x14ac:dyDescent="0.3">
      <c r="A47" s="268">
        <v>45597</v>
      </c>
      <c r="B47" s="269">
        <v>-969</v>
      </c>
      <c r="C47" s="269">
        <f t="shared" si="0"/>
        <v>135740</v>
      </c>
      <c r="D47" s="11">
        <f t="shared" si="1"/>
        <v>38760</v>
      </c>
    </row>
    <row r="48" spans="1:4" x14ac:dyDescent="0.3">
      <c r="A48" s="268">
        <v>45657</v>
      </c>
      <c r="B48" s="269">
        <v>-969</v>
      </c>
      <c r="C48" s="269">
        <f t="shared" si="0"/>
        <v>134771</v>
      </c>
      <c r="D48" s="11">
        <f t="shared" si="1"/>
        <v>39729</v>
      </c>
    </row>
    <row r="49" spans="1:4" x14ac:dyDescent="0.3">
      <c r="A49" s="268">
        <f>EOMONTH(A48,1)</f>
        <v>45688</v>
      </c>
      <c r="B49" s="269">
        <v>-969</v>
      </c>
      <c r="C49" s="269">
        <f t="shared" si="0"/>
        <v>133802</v>
      </c>
      <c r="D49" s="11">
        <f t="shared" si="1"/>
        <v>40698</v>
      </c>
    </row>
    <row r="50" spans="1:4" x14ac:dyDescent="0.3">
      <c r="A50" s="268">
        <f t="shared" ref="A50:A113" si="2">EOMONTH(A49,1)</f>
        <v>45716</v>
      </c>
      <c r="B50" s="269">
        <v>-969</v>
      </c>
      <c r="C50" s="269">
        <f t="shared" si="0"/>
        <v>132833</v>
      </c>
      <c r="D50" s="11">
        <f t="shared" si="1"/>
        <v>41667</v>
      </c>
    </row>
    <row r="51" spans="1:4" x14ac:dyDescent="0.3">
      <c r="A51" s="268">
        <f t="shared" si="2"/>
        <v>45747</v>
      </c>
      <c r="B51" s="269">
        <v>-969</v>
      </c>
      <c r="C51" s="269">
        <f t="shared" si="0"/>
        <v>131864</v>
      </c>
      <c r="D51" s="11">
        <f t="shared" si="1"/>
        <v>42636</v>
      </c>
    </row>
    <row r="52" spans="1:4" x14ac:dyDescent="0.3">
      <c r="A52" s="268">
        <f t="shared" si="2"/>
        <v>45777</v>
      </c>
      <c r="B52" s="269">
        <v>-969</v>
      </c>
      <c r="C52" s="269">
        <f t="shared" si="0"/>
        <v>130895</v>
      </c>
      <c r="D52" s="11">
        <f t="shared" si="1"/>
        <v>43605</v>
      </c>
    </row>
    <row r="53" spans="1:4" x14ac:dyDescent="0.3">
      <c r="A53" s="268">
        <f t="shared" si="2"/>
        <v>45808</v>
      </c>
      <c r="B53" s="196">
        <v>-969</v>
      </c>
      <c r="C53" s="196">
        <f t="shared" si="0"/>
        <v>129926</v>
      </c>
      <c r="D53" s="11">
        <f t="shared" si="1"/>
        <v>44574</v>
      </c>
    </row>
    <row r="54" spans="1:4" x14ac:dyDescent="0.3">
      <c r="A54" s="268">
        <f t="shared" si="2"/>
        <v>45838</v>
      </c>
      <c r="B54" s="196">
        <v>-969</v>
      </c>
      <c r="C54" s="196">
        <f t="shared" si="0"/>
        <v>128957</v>
      </c>
      <c r="D54" s="11">
        <f t="shared" si="1"/>
        <v>45543</v>
      </c>
    </row>
    <row r="55" spans="1:4" x14ac:dyDescent="0.3">
      <c r="A55" s="268">
        <f t="shared" si="2"/>
        <v>45869</v>
      </c>
      <c r="B55" s="196">
        <v>-969</v>
      </c>
      <c r="C55" s="196">
        <f t="shared" si="0"/>
        <v>127988</v>
      </c>
      <c r="D55" s="11">
        <f t="shared" si="1"/>
        <v>46512</v>
      </c>
    </row>
    <row r="56" spans="1:4" x14ac:dyDescent="0.3">
      <c r="A56" s="268">
        <f t="shared" si="2"/>
        <v>45900</v>
      </c>
      <c r="B56" s="196">
        <v>-969</v>
      </c>
      <c r="C56" s="196">
        <f t="shared" si="0"/>
        <v>127019</v>
      </c>
      <c r="D56" s="11">
        <f t="shared" si="1"/>
        <v>47481</v>
      </c>
    </row>
    <row r="57" spans="1:4" x14ac:dyDescent="0.3">
      <c r="A57" s="268">
        <f t="shared" si="2"/>
        <v>45930</v>
      </c>
      <c r="B57" s="196">
        <v>-969</v>
      </c>
      <c r="C57" s="196">
        <f t="shared" si="0"/>
        <v>126050</v>
      </c>
      <c r="D57" s="11">
        <f t="shared" si="1"/>
        <v>48450</v>
      </c>
    </row>
    <row r="58" spans="1:4" x14ac:dyDescent="0.3">
      <c r="A58" s="268">
        <f t="shared" si="2"/>
        <v>45961</v>
      </c>
      <c r="B58" s="196">
        <v>-969</v>
      </c>
      <c r="C58" s="196">
        <f t="shared" si="0"/>
        <v>125081</v>
      </c>
      <c r="D58" s="11">
        <f t="shared" si="1"/>
        <v>49419</v>
      </c>
    </row>
    <row r="59" spans="1:4" x14ac:dyDescent="0.3">
      <c r="A59" s="268">
        <f t="shared" si="2"/>
        <v>45991</v>
      </c>
      <c r="B59" s="196">
        <v>-969</v>
      </c>
      <c r="C59" s="196">
        <f t="shared" si="0"/>
        <v>124112</v>
      </c>
      <c r="D59" s="11">
        <f t="shared" si="1"/>
        <v>50388</v>
      </c>
    </row>
    <row r="60" spans="1:4" x14ac:dyDescent="0.3">
      <c r="A60" s="268">
        <f t="shared" si="2"/>
        <v>46022</v>
      </c>
      <c r="B60" s="196">
        <v>-969</v>
      </c>
      <c r="C60" s="196">
        <f t="shared" si="0"/>
        <v>123143</v>
      </c>
      <c r="D60" s="11">
        <f t="shared" si="1"/>
        <v>51357</v>
      </c>
    </row>
    <row r="61" spans="1:4" x14ac:dyDescent="0.3">
      <c r="A61" s="271">
        <f t="shared" si="2"/>
        <v>46053</v>
      </c>
      <c r="B61" s="9">
        <v>-969</v>
      </c>
      <c r="C61" s="9">
        <f t="shared" si="0"/>
        <v>122174</v>
      </c>
      <c r="D61" s="11">
        <f t="shared" si="1"/>
        <v>52326</v>
      </c>
    </row>
    <row r="62" spans="1:4" x14ac:dyDescent="0.3">
      <c r="A62" s="271">
        <f t="shared" si="2"/>
        <v>46081</v>
      </c>
      <c r="B62" s="9">
        <v>-969</v>
      </c>
      <c r="C62" s="9">
        <f t="shared" si="0"/>
        <v>121205</v>
      </c>
      <c r="D62" s="11">
        <f t="shared" si="1"/>
        <v>53295</v>
      </c>
    </row>
    <row r="63" spans="1:4" x14ac:dyDescent="0.3">
      <c r="A63" s="271">
        <f t="shared" si="2"/>
        <v>46112</v>
      </c>
      <c r="B63" s="9">
        <v>-969</v>
      </c>
      <c r="C63" s="9">
        <f t="shared" si="0"/>
        <v>120236</v>
      </c>
      <c r="D63" s="11">
        <f t="shared" si="1"/>
        <v>54264</v>
      </c>
    </row>
    <row r="64" spans="1:4" x14ac:dyDescent="0.3">
      <c r="A64" s="271">
        <f t="shared" si="2"/>
        <v>46142</v>
      </c>
      <c r="B64" s="9">
        <v>-969</v>
      </c>
      <c r="C64" s="9">
        <f t="shared" si="0"/>
        <v>119267</v>
      </c>
      <c r="D64" s="11">
        <f t="shared" si="1"/>
        <v>55233</v>
      </c>
    </row>
    <row r="65" spans="1:4" x14ac:dyDescent="0.3">
      <c r="A65" s="271">
        <f t="shared" si="2"/>
        <v>46173</v>
      </c>
      <c r="B65" s="9">
        <v>-969</v>
      </c>
      <c r="C65" s="9">
        <f t="shared" si="0"/>
        <v>118298</v>
      </c>
      <c r="D65" s="11">
        <f t="shared" si="1"/>
        <v>56202</v>
      </c>
    </row>
    <row r="66" spans="1:4" x14ac:dyDescent="0.3">
      <c r="A66" s="271">
        <f t="shared" si="2"/>
        <v>46203</v>
      </c>
      <c r="B66" s="9">
        <v>-969</v>
      </c>
      <c r="C66" s="9">
        <f t="shared" si="0"/>
        <v>117329</v>
      </c>
      <c r="D66" s="11">
        <f t="shared" si="1"/>
        <v>57171</v>
      </c>
    </row>
    <row r="67" spans="1:4" x14ac:dyDescent="0.3">
      <c r="A67" s="271">
        <f t="shared" si="2"/>
        <v>46234</v>
      </c>
      <c r="B67" s="9">
        <v>-969</v>
      </c>
      <c r="C67" s="9">
        <f t="shared" si="0"/>
        <v>116360</v>
      </c>
      <c r="D67" s="11">
        <f t="shared" si="1"/>
        <v>58140</v>
      </c>
    </row>
    <row r="68" spans="1:4" x14ac:dyDescent="0.3">
      <c r="A68" s="271">
        <f t="shared" si="2"/>
        <v>46265</v>
      </c>
      <c r="B68" s="9">
        <v>-969</v>
      </c>
      <c r="C68" s="9">
        <f t="shared" si="0"/>
        <v>115391</v>
      </c>
      <c r="D68" s="11">
        <f t="shared" si="1"/>
        <v>59109</v>
      </c>
    </row>
    <row r="69" spans="1:4" x14ac:dyDescent="0.3">
      <c r="A69" s="271">
        <f t="shared" si="2"/>
        <v>46295</v>
      </c>
      <c r="B69" s="9">
        <v>-969</v>
      </c>
      <c r="C69" s="9">
        <f t="shared" si="0"/>
        <v>114422</v>
      </c>
      <c r="D69" s="11">
        <f t="shared" si="1"/>
        <v>60078</v>
      </c>
    </row>
    <row r="70" spans="1:4" x14ac:dyDescent="0.3">
      <c r="A70" s="271">
        <f t="shared" si="2"/>
        <v>46326</v>
      </c>
      <c r="B70" s="9">
        <v>-969</v>
      </c>
      <c r="C70" s="9">
        <f t="shared" si="0"/>
        <v>113453</v>
      </c>
      <c r="D70" s="11">
        <f t="shared" si="1"/>
        <v>61047</v>
      </c>
    </row>
    <row r="71" spans="1:4" x14ac:dyDescent="0.3">
      <c r="A71" s="271">
        <f t="shared" si="2"/>
        <v>46356</v>
      </c>
      <c r="B71" s="9">
        <v>-969</v>
      </c>
      <c r="C71" s="9">
        <f t="shared" si="0"/>
        <v>112484</v>
      </c>
      <c r="D71" s="11">
        <f t="shared" si="1"/>
        <v>62016</v>
      </c>
    </row>
    <row r="72" spans="1:4" x14ac:dyDescent="0.3">
      <c r="A72" s="271">
        <f t="shared" si="2"/>
        <v>46387</v>
      </c>
      <c r="B72" s="9">
        <v>-969</v>
      </c>
      <c r="C72" s="9">
        <f t="shared" si="0"/>
        <v>111515</v>
      </c>
      <c r="D72" s="11">
        <f t="shared" si="1"/>
        <v>62985</v>
      </c>
    </row>
    <row r="73" spans="1:4" x14ac:dyDescent="0.3">
      <c r="A73" s="271">
        <f t="shared" si="2"/>
        <v>46418</v>
      </c>
      <c r="B73" s="9">
        <v>-969</v>
      </c>
      <c r="C73" s="9">
        <f t="shared" ref="C73:C136" si="3">C72+B73</f>
        <v>110546</v>
      </c>
      <c r="D73" s="11">
        <f t="shared" si="1"/>
        <v>63954</v>
      </c>
    </row>
    <row r="74" spans="1:4" x14ac:dyDescent="0.3">
      <c r="A74" s="271">
        <f t="shared" si="2"/>
        <v>46446</v>
      </c>
      <c r="B74" s="9">
        <v>-969</v>
      </c>
      <c r="C74" s="9">
        <f t="shared" si="3"/>
        <v>109577</v>
      </c>
      <c r="D74" s="11">
        <f t="shared" ref="D74:D137" si="4">D73-B74</f>
        <v>64923</v>
      </c>
    </row>
    <row r="75" spans="1:4" x14ac:dyDescent="0.3">
      <c r="A75" s="271">
        <f t="shared" si="2"/>
        <v>46477</v>
      </c>
      <c r="B75" s="9">
        <v>-969</v>
      </c>
      <c r="C75" s="9">
        <f t="shared" si="3"/>
        <v>108608</v>
      </c>
      <c r="D75" s="11">
        <f t="shared" si="4"/>
        <v>65892</v>
      </c>
    </row>
    <row r="76" spans="1:4" x14ac:dyDescent="0.3">
      <c r="A76" s="271">
        <f t="shared" si="2"/>
        <v>46507</v>
      </c>
      <c r="B76" s="9">
        <v>-969</v>
      </c>
      <c r="C76" s="9">
        <f t="shared" si="3"/>
        <v>107639</v>
      </c>
      <c r="D76" s="11">
        <f t="shared" si="4"/>
        <v>66861</v>
      </c>
    </row>
    <row r="77" spans="1:4" x14ac:dyDescent="0.3">
      <c r="A77" s="271">
        <f t="shared" si="2"/>
        <v>46538</v>
      </c>
      <c r="B77" s="9">
        <v>-969</v>
      </c>
      <c r="C77" s="9">
        <f t="shared" si="3"/>
        <v>106670</v>
      </c>
      <c r="D77" s="11">
        <f t="shared" si="4"/>
        <v>67830</v>
      </c>
    </row>
    <row r="78" spans="1:4" x14ac:dyDescent="0.3">
      <c r="A78" s="271">
        <f t="shared" si="2"/>
        <v>46568</v>
      </c>
      <c r="B78" s="9">
        <v>-969</v>
      </c>
      <c r="C78" s="9">
        <f t="shared" si="3"/>
        <v>105701</v>
      </c>
      <c r="D78" s="11">
        <f t="shared" si="4"/>
        <v>68799</v>
      </c>
    </row>
    <row r="79" spans="1:4" x14ac:dyDescent="0.3">
      <c r="A79" s="271">
        <f t="shared" si="2"/>
        <v>46599</v>
      </c>
      <c r="B79" s="9">
        <v>-969</v>
      </c>
      <c r="C79" s="9">
        <f t="shared" si="3"/>
        <v>104732</v>
      </c>
      <c r="D79" s="11">
        <f t="shared" si="4"/>
        <v>69768</v>
      </c>
    </row>
    <row r="80" spans="1:4" x14ac:dyDescent="0.3">
      <c r="A80" s="271">
        <f t="shared" si="2"/>
        <v>46630</v>
      </c>
      <c r="B80" s="9">
        <v>-969</v>
      </c>
      <c r="C80" s="9">
        <f t="shared" si="3"/>
        <v>103763</v>
      </c>
      <c r="D80" s="11">
        <f t="shared" si="4"/>
        <v>70737</v>
      </c>
    </row>
    <row r="81" spans="1:4" x14ac:dyDescent="0.3">
      <c r="A81" s="271">
        <f t="shared" si="2"/>
        <v>46660</v>
      </c>
      <c r="B81" s="9">
        <v>-969</v>
      </c>
      <c r="C81" s="9">
        <f t="shared" si="3"/>
        <v>102794</v>
      </c>
      <c r="D81" s="11">
        <f t="shared" si="4"/>
        <v>71706</v>
      </c>
    </row>
    <row r="82" spans="1:4" x14ac:dyDescent="0.3">
      <c r="A82" s="271">
        <f t="shared" si="2"/>
        <v>46691</v>
      </c>
      <c r="B82" s="9">
        <v>-969</v>
      </c>
      <c r="C82" s="9">
        <f t="shared" si="3"/>
        <v>101825</v>
      </c>
      <c r="D82" s="11">
        <f t="shared" si="4"/>
        <v>72675</v>
      </c>
    </row>
    <row r="83" spans="1:4" x14ac:dyDescent="0.3">
      <c r="A83" s="271">
        <f t="shared" si="2"/>
        <v>46721</v>
      </c>
      <c r="B83" s="9">
        <v>-969</v>
      </c>
      <c r="C83" s="9">
        <f t="shared" si="3"/>
        <v>100856</v>
      </c>
      <c r="D83" s="11">
        <f t="shared" si="4"/>
        <v>73644</v>
      </c>
    </row>
    <row r="84" spans="1:4" x14ac:dyDescent="0.3">
      <c r="A84" s="271">
        <f t="shared" si="2"/>
        <v>46752</v>
      </c>
      <c r="B84" s="9">
        <v>-969</v>
      </c>
      <c r="C84" s="9">
        <f t="shared" si="3"/>
        <v>99887</v>
      </c>
      <c r="D84" s="11">
        <f t="shared" si="4"/>
        <v>74613</v>
      </c>
    </row>
    <row r="85" spans="1:4" x14ac:dyDescent="0.3">
      <c r="A85" s="271">
        <f t="shared" si="2"/>
        <v>46783</v>
      </c>
      <c r="B85" s="9">
        <v>-969</v>
      </c>
      <c r="C85" s="9">
        <f t="shared" si="3"/>
        <v>98918</v>
      </c>
      <c r="D85" s="11">
        <f t="shared" si="4"/>
        <v>75582</v>
      </c>
    </row>
    <row r="86" spans="1:4" x14ac:dyDescent="0.3">
      <c r="A86" s="271">
        <f t="shared" si="2"/>
        <v>46812</v>
      </c>
      <c r="B86" s="9">
        <v>-969</v>
      </c>
      <c r="C86" s="9">
        <f t="shared" si="3"/>
        <v>97949</v>
      </c>
      <c r="D86" s="11">
        <f t="shared" si="4"/>
        <v>76551</v>
      </c>
    </row>
    <row r="87" spans="1:4" x14ac:dyDescent="0.3">
      <c r="A87" s="271">
        <f t="shared" si="2"/>
        <v>46843</v>
      </c>
      <c r="B87" s="9">
        <v>-969</v>
      </c>
      <c r="C87" s="9">
        <f t="shared" si="3"/>
        <v>96980</v>
      </c>
      <c r="D87" s="11">
        <f t="shared" si="4"/>
        <v>77520</v>
      </c>
    </row>
    <row r="88" spans="1:4" x14ac:dyDescent="0.3">
      <c r="A88" s="271">
        <f t="shared" si="2"/>
        <v>46873</v>
      </c>
      <c r="B88" s="9">
        <v>-969</v>
      </c>
      <c r="C88" s="9">
        <f t="shared" si="3"/>
        <v>96011</v>
      </c>
      <c r="D88" s="11">
        <f t="shared" si="4"/>
        <v>78489</v>
      </c>
    </row>
    <row r="89" spans="1:4" x14ac:dyDescent="0.3">
      <c r="A89" s="271">
        <f t="shared" si="2"/>
        <v>46904</v>
      </c>
      <c r="B89" s="9">
        <v>-969</v>
      </c>
      <c r="C89" s="9">
        <f t="shared" si="3"/>
        <v>95042</v>
      </c>
      <c r="D89" s="11">
        <f t="shared" si="4"/>
        <v>79458</v>
      </c>
    </row>
    <row r="90" spans="1:4" x14ac:dyDescent="0.3">
      <c r="A90" s="271">
        <f t="shared" si="2"/>
        <v>46934</v>
      </c>
      <c r="B90" s="9">
        <v>-969</v>
      </c>
      <c r="C90" s="9">
        <f t="shared" si="3"/>
        <v>94073</v>
      </c>
      <c r="D90" s="11">
        <f t="shared" si="4"/>
        <v>80427</v>
      </c>
    </row>
    <row r="91" spans="1:4" x14ac:dyDescent="0.3">
      <c r="A91" s="271">
        <f t="shared" si="2"/>
        <v>46965</v>
      </c>
      <c r="B91" s="9">
        <v>-969</v>
      </c>
      <c r="C91" s="9">
        <f t="shared" si="3"/>
        <v>93104</v>
      </c>
      <c r="D91" s="11">
        <f t="shared" si="4"/>
        <v>81396</v>
      </c>
    </row>
    <row r="92" spans="1:4" x14ac:dyDescent="0.3">
      <c r="A92" s="271">
        <f t="shared" si="2"/>
        <v>46996</v>
      </c>
      <c r="B92" s="9">
        <v>-969</v>
      </c>
      <c r="C92" s="9">
        <f t="shared" si="3"/>
        <v>92135</v>
      </c>
      <c r="D92" s="11">
        <f t="shared" si="4"/>
        <v>82365</v>
      </c>
    </row>
    <row r="93" spans="1:4" x14ac:dyDescent="0.3">
      <c r="A93" s="271">
        <f t="shared" si="2"/>
        <v>47026</v>
      </c>
      <c r="B93" s="9">
        <v>-969</v>
      </c>
      <c r="C93" s="9">
        <f t="shared" si="3"/>
        <v>91166</v>
      </c>
      <c r="D93" s="11">
        <f t="shared" si="4"/>
        <v>83334</v>
      </c>
    </row>
    <row r="94" spans="1:4" x14ac:dyDescent="0.3">
      <c r="A94" s="271">
        <f t="shared" si="2"/>
        <v>47057</v>
      </c>
      <c r="B94" s="9">
        <v>-969</v>
      </c>
      <c r="C94" s="9">
        <f t="shared" si="3"/>
        <v>90197</v>
      </c>
      <c r="D94" s="11">
        <f t="shared" si="4"/>
        <v>84303</v>
      </c>
    </row>
    <row r="95" spans="1:4" x14ac:dyDescent="0.3">
      <c r="A95" s="271">
        <f t="shared" si="2"/>
        <v>47087</v>
      </c>
      <c r="B95" s="9">
        <v>-969</v>
      </c>
      <c r="C95" s="9">
        <f t="shared" si="3"/>
        <v>89228</v>
      </c>
      <c r="D95" s="11">
        <f t="shared" si="4"/>
        <v>85272</v>
      </c>
    </row>
    <row r="96" spans="1:4" x14ac:dyDescent="0.3">
      <c r="A96" s="271">
        <f t="shared" si="2"/>
        <v>47118</v>
      </c>
      <c r="B96" s="9">
        <v>-969</v>
      </c>
      <c r="C96" s="9">
        <f t="shared" si="3"/>
        <v>88259</v>
      </c>
      <c r="D96" s="11">
        <f t="shared" si="4"/>
        <v>86241</v>
      </c>
    </row>
    <row r="97" spans="1:4" x14ac:dyDescent="0.3">
      <c r="A97" s="271">
        <f t="shared" si="2"/>
        <v>47149</v>
      </c>
      <c r="B97" s="9">
        <v>-969</v>
      </c>
      <c r="C97" s="9">
        <f t="shared" si="3"/>
        <v>87290</v>
      </c>
      <c r="D97" s="11">
        <f t="shared" si="4"/>
        <v>87210</v>
      </c>
    </row>
    <row r="98" spans="1:4" x14ac:dyDescent="0.3">
      <c r="A98" s="271">
        <f t="shared" si="2"/>
        <v>47177</v>
      </c>
      <c r="B98" s="9">
        <v>-969</v>
      </c>
      <c r="C98" s="9">
        <f t="shared" si="3"/>
        <v>86321</v>
      </c>
      <c r="D98" s="11">
        <f t="shared" si="4"/>
        <v>88179</v>
      </c>
    </row>
    <row r="99" spans="1:4" x14ac:dyDescent="0.3">
      <c r="A99" s="271">
        <f t="shared" si="2"/>
        <v>47208</v>
      </c>
      <c r="B99" s="9">
        <v>-969</v>
      </c>
      <c r="C99" s="9">
        <f t="shared" si="3"/>
        <v>85352</v>
      </c>
      <c r="D99" s="11">
        <f t="shared" si="4"/>
        <v>89148</v>
      </c>
    </row>
    <row r="100" spans="1:4" x14ac:dyDescent="0.3">
      <c r="A100" s="271">
        <f t="shared" si="2"/>
        <v>47238</v>
      </c>
      <c r="B100" s="9">
        <v>-969</v>
      </c>
      <c r="C100" s="9">
        <f t="shared" si="3"/>
        <v>84383</v>
      </c>
      <c r="D100" s="11">
        <f t="shared" si="4"/>
        <v>90117</v>
      </c>
    </row>
    <row r="101" spans="1:4" x14ac:dyDescent="0.3">
      <c r="A101" s="271">
        <f t="shared" si="2"/>
        <v>47269</v>
      </c>
      <c r="B101" s="9">
        <v>-969</v>
      </c>
      <c r="C101" s="9">
        <f t="shared" si="3"/>
        <v>83414</v>
      </c>
      <c r="D101" s="11">
        <f t="shared" si="4"/>
        <v>91086</v>
      </c>
    </row>
    <row r="102" spans="1:4" x14ac:dyDescent="0.3">
      <c r="A102" s="271">
        <f t="shared" si="2"/>
        <v>47299</v>
      </c>
      <c r="B102" s="9">
        <v>-969</v>
      </c>
      <c r="C102" s="9">
        <f t="shared" si="3"/>
        <v>82445</v>
      </c>
      <c r="D102" s="11">
        <f t="shared" si="4"/>
        <v>92055</v>
      </c>
    </row>
    <row r="103" spans="1:4" x14ac:dyDescent="0.3">
      <c r="A103" s="271">
        <f t="shared" si="2"/>
        <v>47330</v>
      </c>
      <c r="B103" s="9">
        <v>-969</v>
      </c>
      <c r="C103" s="9">
        <f t="shared" si="3"/>
        <v>81476</v>
      </c>
      <c r="D103" s="11">
        <f t="shared" si="4"/>
        <v>93024</v>
      </c>
    </row>
    <row r="104" spans="1:4" x14ac:dyDescent="0.3">
      <c r="A104" s="271">
        <f t="shared" si="2"/>
        <v>47361</v>
      </c>
      <c r="B104" s="9">
        <v>-969</v>
      </c>
      <c r="C104" s="9">
        <f t="shared" si="3"/>
        <v>80507</v>
      </c>
      <c r="D104" s="11">
        <f t="shared" si="4"/>
        <v>93993</v>
      </c>
    </row>
    <row r="105" spans="1:4" x14ac:dyDescent="0.3">
      <c r="A105" s="271">
        <f t="shared" si="2"/>
        <v>47391</v>
      </c>
      <c r="B105" s="9">
        <v>-969</v>
      </c>
      <c r="C105" s="9">
        <f t="shared" si="3"/>
        <v>79538</v>
      </c>
      <c r="D105" s="11">
        <f t="shared" si="4"/>
        <v>94962</v>
      </c>
    </row>
    <row r="106" spans="1:4" x14ac:dyDescent="0.3">
      <c r="A106" s="271">
        <f t="shared" si="2"/>
        <v>47422</v>
      </c>
      <c r="B106" s="9">
        <v>-969</v>
      </c>
      <c r="C106" s="9">
        <f t="shared" si="3"/>
        <v>78569</v>
      </c>
      <c r="D106" s="11">
        <f t="shared" si="4"/>
        <v>95931</v>
      </c>
    </row>
    <row r="107" spans="1:4" x14ac:dyDescent="0.3">
      <c r="A107" s="271">
        <f t="shared" si="2"/>
        <v>47452</v>
      </c>
      <c r="B107" s="9">
        <v>-969</v>
      </c>
      <c r="C107" s="9">
        <f t="shared" si="3"/>
        <v>77600</v>
      </c>
      <c r="D107" s="11">
        <f t="shared" si="4"/>
        <v>96900</v>
      </c>
    </row>
    <row r="108" spans="1:4" x14ac:dyDescent="0.3">
      <c r="A108" s="271">
        <f t="shared" si="2"/>
        <v>47483</v>
      </c>
      <c r="B108" s="9">
        <v>-969</v>
      </c>
      <c r="C108" s="9">
        <f t="shared" si="3"/>
        <v>76631</v>
      </c>
      <c r="D108" s="11">
        <f t="shared" si="4"/>
        <v>97869</v>
      </c>
    </row>
    <row r="109" spans="1:4" x14ac:dyDescent="0.3">
      <c r="A109" s="271">
        <f t="shared" si="2"/>
        <v>47514</v>
      </c>
      <c r="B109" s="9">
        <v>-969</v>
      </c>
      <c r="C109" s="9">
        <f t="shared" si="3"/>
        <v>75662</v>
      </c>
      <c r="D109" s="11">
        <f t="shared" si="4"/>
        <v>98838</v>
      </c>
    </row>
    <row r="110" spans="1:4" x14ac:dyDescent="0.3">
      <c r="A110" s="271">
        <f t="shared" si="2"/>
        <v>47542</v>
      </c>
      <c r="B110" s="9">
        <v>-969</v>
      </c>
      <c r="C110" s="9">
        <f t="shared" si="3"/>
        <v>74693</v>
      </c>
      <c r="D110" s="11">
        <f t="shared" si="4"/>
        <v>99807</v>
      </c>
    </row>
    <row r="111" spans="1:4" x14ac:dyDescent="0.3">
      <c r="A111" s="271">
        <f t="shared" si="2"/>
        <v>47573</v>
      </c>
      <c r="B111" s="9">
        <v>-969</v>
      </c>
      <c r="C111" s="9">
        <f t="shared" si="3"/>
        <v>73724</v>
      </c>
      <c r="D111" s="11">
        <f t="shared" si="4"/>
        <v>100776</v>
      </c>
    </row>
    <row r="112" spans="1:4" x14ac:dyDescent="0.3">
      <c r="A112" s="271">
        <f t="shared" si="2"/>
        <v>47603</v>
      </c>
      <c r="B112" s="9">
        <v>-969</v>
      </c>
      <c r="C112" s="9">
        <f t="shared" si="3"/>
        <v>72755</v>
      </c>
      <c r="D112" s="11">
        <f t="shared" si="4"/>
        <v>101745</v>
      </c>
    </row>
    <row r="113" spans="1:4" x14ac:dyDescent="0.3">
      <c r="A113" s="271">
        <f t="shared" si="2"/>
        <v>47634</v>
      </c>
      <c r="B113" s="9">
        <v>-969</v>
      </c>
      <c r="C113" s="9">
        <f t="shared" si="3"/>
        <v>71786</v>
      </c>
      <c r="D113" s="11">
        <f t="shared" si="4"/>
        <v>102714</v>
      </c>
    </row>
    <row r="114" spans="1:4" x14ac:dyDescent="0.3">
      <c r="A114" s="271">
        <f t="shared" ref="A114:A177" si="5">EOMONTH(A113,1)</f>
        <v>47664</v>
      </c>
      <c r="B114" s="9">
        <v>-969</v>
      </c>
      <c r="C114" s="9">
        <f t="shared" si="3"/>
        <v>70817</v>
      </c>
      <c r="D114" s="11">
        <f t="shared" si="4"/>
        <v>103683</v>
      </c>
    </row>
    <row r="115" spans="1:4" x14ac:dyDescent="0.3">
      <c r="A115" s="271">
        <f t="shared" si="5"/>
        <v>47695</v>
      </c>
      <c r="B115" s="9">
        <v>-969</v>
      </c>
      <c r="C115" s="9">
        <f t="shared" si="3"/>
        <v>69848</v>
      </c>
      <c r="D115" s="11">
        <f t="shared" si="4"/>
        <v>104652</v>
      </c>
    </row>
    <row r="116" spans="1:4" x14ac:dyDescent="0.3">
      <c r="A116" s="271">
        <f t="shared" si="5"/>
        <v>47726</v>
      </c>
      <c r="B116" s="9">
        <v>-969</v>
      </c>
      <c r="C116" s="9">
        <f t="shared" si="3"/>
        <v>68879</v>
      </c>
      <c r="D116" s="11">
        <f t="shared" si="4"/>
        <v>105621</v>
      </c>
    </row>
    <row r="117" spans="1:4" x14ac:dyDescent="0.3">
      <c r="A117" s="271">
        <f t="shared" si="5"/>
        <v>47756</v>
      </c>
      <c r="B117" s="9">
        <v>-969</v>
      </c>
      <c r="C117" s="9">
        <f t="shared" si="3"/>
        <v>67910</v>
      </c>
      <c r="D117" s="11">
        <f t="shared" si="4"/>
        <v>106590</v>
      </c>
    </row>
    <row r="118" spans="1:4" x14ac:dyDescent="0.3">
      <c r="A118" s="271">
        <f t="shared" si="5"/>
        <v>47787</v>
      </c>
      <c r="B118" s="9">
        <v>-969</v>
      </c>
      <c r="C118" s="9">
        <f t="shared" si="3"/>
        <v>66941</v>
      </c>
      <c r="D118" s="11">
        <f t="shared" si="4"/>
        <v>107559</v>
      </c>
    </row>
    <row r="119" spans="1:4" x14ac:dyDescent="0.3">
      <c r="A119" s="271">
        <f t="shared" si="5"/>
        <v>47817</v>
      </c>
      <c r="B119" s="9">
        <v>-969</v>
      </c>
      <c r="C119" s="9">
        <f t="shared" si="3"/>
        <v>65972</v>
      </c>
      <c r="D119" s="11">
        <f t="shared" si="4"/>
        <v>108528</v>
      </c>
    </row>
    <row r="120" spans="1:4" x14ac:dyDescent="0.3">
      <c r="A120" s="271">
        <f t="shared" si="5"/>
        <v>47848</v>
      </c>
      <c r="B120" s="9">
        <v>-969</v>
      </c>
      <c r="C120" s="9">
        <f t="shared" si="3"/>
        <v>65003</v>
      </c>
      <c r="D120" s="11">
        <f t="shared" si="4"/>
        <v>109497</v>
      </c>
    </row>
    <row r="121" spans="1:4" x14ac:dyDescent="0.3">
      <c r="A121" s="271">
        <f t="shared" si="5"/>
        <v>47879</v>
      </c>
      <c r="B121" s="9">
        <v>-969</v>
      </c>
      <c r="C121" s="9">
        <f t="shared" si="3"/>
        <v>64034</v>
      </c>
      <c r="D121" s="11">
        <f t="shared" si="4"/>
        <v>110466</v>
      </c>
    </row>
    <row r="122" spans="1:4" x14ac:dyDescent="0.3">
      <c r="A122" s="271">
        <f t="shared" si="5"/>
        <v>47907</v>
      </c>
      <c r="B122" s="9">
        <v>-969</v>
      </c>
      <c r="C122" s="9">
        <f t="shared" si="3"/>
        <v>63065</v>
      </c>
      <c r="D122" s="11">
        <f t="shared" si="4"/>
        <v>111435</v>
      </c>
    </row>
    <row r="123" spans="1:4" x14ac:dyDescent="0.3">
      <c r="A123" s="271">
        <f t="shared" si="5"/>
        <v>47938</v>
      </c>
      <c r="B123" s="9">
        <v>-969</v>
      </c>
      <c r="C123" s="9">
        <f t="shared" si="3"/>
        <v>62096</v>
      </c>
      <c r="D123" s="11">
        <f t="shared" si="4"/>
        <v>112404</v>
      </c>
    </row>
    <row r="124" spans="1:4" x14ac:dyDescent="0.3">
      <c r="A124" s="271">
        <f t="shared" si="5"/>
        <v>47968</v>
      </c>
      <c r="B124" s="9">
        <v>-969</v>
      </c>
      <c r="C124" s="9">
        <f t="shared" si="3"/>
        <v>61127</v>
      </c>
      <c r="D124" s="11">
        <f t="shared" si="4"/>
        <v>113373</v>
      </c>
    </row>
    <row r="125" spans="1:4" x14ac:dyDescent="0.3">
      <c r="A125" s="271">
        <f t="shared" si="5"/>
        <v>47999</v>
      </c>
      <c r="B125" s="9">
        <v>-969</v>
      </c>
      <c r="C125" s="9">
        <f t="shared" si="3"/>
        <v>60158</v>
      </c>
      <c r="D125" s="11">
        <f t="shared" si="4"/>
        <v>114342</v>
      </c>
    </row>
    <row r="126" spans="1:4" x14ac:dyDescent="0.3">
      <c r="A126" s="271">
        <f t="shared" si="5"/>
        <v>48029</v>
      </c>
      <c r="B126" s="9">
        <v>-969</v>
      </c>
      <c r="C126" s="9">
        <f t="shared" si="3"/>
        <v>59189</v>
      </c>
      <c r="D126" s="11">
        <f t="shared" si="4"/>
        <v>115311</v>
      </c>
    </row>
    <row r="127" spans="1:4" x14ac:dyDescent="0.3">
      <c r="A127" s="271">
        <f t="shared" si="5"/>
        <v>48060</v>
      </c>
      <c r="B127" s="9">
        <v>-969</v>
      </c>
      <c r="C127" s="9">
        <f t="shared" si="3"/>
        <v>58220</v>
      </c>
      <c r="D127" s="11">
        <f t="shared" si="4"/>
        <v>116280</v>
      </c>
    </row>
    <row r="128" spans="1:4" x14ac:dyDescent="0.3">
      <c r="A128" s="271">
        <f t="shared" si="5"/>
        <v>48091</v>
      </c>
      <c r="B128" s="9">
        <v>-969</v>
      </c>
      <c r="C128" s="9">
        <f t="shared" si="3"/>
        <v>57251</v>
      </c>
      <c r="D128" s="11">
        <f t="shared" si="4"/>
        <v>117249</v>
      </c>
    </row>
    <row r="129" spans="1:4" x14ac:dyDescent="0.3">
      <c r="A129" s="271">
        <f t="shared" si="5"/>
        <v>48121</v>
      </c>
      <c r="B129" s="9">
        <v>-969</v>
      </c>
      <c r="C129" s="9">
        <f t="shared" si="3"/>
        <v>56282</v>
      </c>
      <c r="D129" s="11">
        <f t="shared" si="4"/>
        <v>118218</v>
      </c>
    </row>
    <row r="130" spans="1:4" x14ac:dyDescent="0.3">
      <c r="A130" s="271">
        <f t="shared" si="5"/>
        <v>48152</v>
      </c>
      <c r="B130" s="9">
        <v>-969</v>
      </c>
      <c r="C130" s="9">
        <f t="shared" si="3"/>
        <v>55313</v>
      </c>
      <c r="D130" s="11">
        <f t="shared" si="4"/>
        <v>119187</v>
      </c>
    </row>
    <row r="131" spans="1:4" x14ac:dyDescent="0.3">
      <c r="A131" s="271">
        <f t="shared" si="5"/>
        <v>48182</v>
      </c>
      <c r="B131" s="9">
        <v>-969</v>
      </c>
      <c r="C131" s="9">
        <f t="shared" si="3"/>
        <v>54344</v>
      </c>
      <c r="D131" s="11">
        <f t="shared" si="4"/>
        <v>120156</v>
      </c>
    </row>
    <row r="132" spans="1:4" x14ac:dyDescent="0.3">
      <c r="A132" s="271">
        <f t="shared" si="5"/>
        <v>48213</v>
      </c>
      <c r="B132" s="9">
        <v>-969</v>
      </c>
      <c r="C132" s="9">
        <f t="shared" si="3"/>
        <v>53375</v>
      </c>
      <c r="D132" s="11">
        <f t="shared" si="4"/>
        <v>121125</v>
      </c>
    </row>
    <row r="133" spans="1:4" x14ac:dyDescent="0.3">
      <c r="A133" s="271">
        <f t="shared" si="5"/>
        <v>48244</v>
      </c>
      <c r="B133" s="9">
        <v>-969</v>
      </c>
      <c r="C133" s="9">
        <f t="shared" si="3"/>
        <v>52406</v>
      </c>
      <c r="D133" s="11">
        <f t="shared" si="4"/>
        <v>122094</v>
      </c>
    </row>
    <row r="134" spans="1:4" x14ac:dyDescent="0.3">
      <c r="A134" s="271">
        <f t="shared" si="5"/>
        <v>48273</v>
      </c>
      <c r="B134" s="9">
        <v>-969</v>
      </c>
      <c r="C134" s="9">
        <f t="shared" si="3"/>
        <v>51437</v>
      </c>
      <c r="D134" s="11">
        <f t="shared" si="4"/>
        <v>123063</v>
      </c>
    </row>
    <row r="135" spans="1:4" x14ac:dyDescent="0.3">
      <c r="A135" s="271">
        <f t="shared" si="5"/>
        <v>48304</v>
      </c>
      <c r="B135" s="9">
        <v>-969</v>
      </c>
      <c r="C135" s="9">
        <f t="shared" si="3"/>
        <v>50468</v>
      </c>
      <c r="D135" s="11">
        <f t="shared" si="4"/>
        <v>124032</v>
      </c>
    </row>
    <row r="136" spans="1:4" x14ac:dyDescent="0.3">
      <c r="A136" s="271">
        <f t="shared" si="5"/>
        <v>48334</v>
      </c>
      <c r="B136" s="9">
        <v>-969</v>
      </c>
      <c r="C136" s="9">
        <f t="shared" si="3"/>
        <v>49499</v>
      </c>
      <c r="D136" s="11">
        <f t="shared" si="4"/>
        <v>125001</v>
      </c>
    </row>
    <row r="137" spans="1:4" x14ac:dyDescent="0.3">
      <c r="A137" s="271">
        <f t="shared" si="5"/>
        <v>48365</v>
      </c>
      <c r="B137" s="9">
        <v>-969</v>
      </c>
      <c r="C137" s="9">
        <f t="shared" ref="C137:C187" si="6">C136+B137</f>
        <v>48530</v>
      </c>
      <c r="D137" s="11">
        <f t="shared" si="4"/>
        <v>125970</v>
      </c>
    </row>
    <row r="138" spans="1:4" x14ac:dyDescent="0.3">
      <c r="A138" s="271">
        <f t="shared" si="5"/>
        <v>48395</v>
      </c>
      <c r="B138" s="9">
        <v>-969</v>
      </c>
      <c r="C138" s="9">
        <f t="shared" si="6"/>
        <v>47561</v>
      </c>
      <c r="D138" s="11">
        <f t="shared" ref="D138:D187" si="7">D137-B138</f>
        <v>126939</v>
      </c>
    </row>
    <row r="139" spans="1:4" x14ac:dyDescent="0.3">
      <c r="A139" s="271">
        <f t="shared" si="5"/>
        <v>48426</v>
      </c>
      <c r="B139" s="9">
        <v>-969</v>
      </c>
      <c r="C139" s="9">
        <f t="shared" si="6"/>
        <v>46592</v>
      </c>
      <c r="D139" s="11">
        <f t="shared" si="7"/>
        <v>127908</v>
      </c>
    </row>
    <row r="140" spans="1:4" x14ac:dyDescent="0.3">
      <c r="A140" s="271">
        <f t="shared" si="5"/>
        <v>48457</v>
      </c>
      <c r="B140" s="9">
        <v>-969</v>
      </c>
      <c r="C140" s="9">
        <f t="shared" si="6"/>
        <v>45623</v>
      </c>
      <c r="D140" s="11">
        <f t="shared" si="7"/>
        <v>128877</v>
      </c>
    </row>
    <row r="141" spans="1:4" x14ac:dyDescent="0.3">
      <c r="A141" s="271">
        <f t="shared" si="5"/>
        <v>48487</v>
      </c>
      <c r="B141" s="9">
        <v>-969</v>
      </c>
      <c r="C141" s="9">
        <f t="shared" si="6"/>
        <v>44654</v>
      </c>
      <c r="D141" s="11">
        <f t="shared" si="7"/>
        <v>129846</v>
      </c>
    </row>
    <row r="142" spans="1:4" x14ac:dyDescent="0.3">
      <c r="A142" s="271">
        <f t="shared" si="5"/>
        <v>48518</v>
      </c>
      <c r="B142" s="9">
        <v>-969</v>
      </c>
      <c r="C142" s="9">
        <f t="shared" si="6"/>
        <v>43685</v>
      </c>
      <c r="D142" s="11">
        <f t="shared" si="7"/>
        <v>130815</v>
      </c>
    </row>
    <row r="143" spans="1:4" x14ac:dyDescent="0.3">
      <c r="A143" s="271">
        <f t="shared" si="5"/>
        <v>48548</v>
      </c>
      <c r="B143" s="9">
        <v>-969</v>
      </c>
      <c r="C143" s="9">
        <f t="shared" si="6"/>
        <v>42716</v>
      </c>
      <c r="D143" s="11">
        <f t="shared" si="7"/>
        <v>131784</v>
      </c>
    </row>
    <row r="144" spans="1:4" x14ac:dyDescent="0.3">
      <c r="A144" s="271">
        <f t="shared" si="5"/>
        <v>48579</v>
      </c>
      <c r="B144" s="9">
        <v>-969</v>
      </c>
      <c r="C144" s="9">
        <f t="shared" si="6"/>
        <v>41747</v>
      </c>
      <c r="D144" s="11">
        <f t="shared" si="7"/>
        <v>132753</v>
      </c>
    </row>
    <row r="145" spans="1:4" x14ac:dyDescent="0.3">
      <c r="A145" s="271">
        <f t="shared" si="5"/>
        <v>48610</v>
      </c>
      <c r="B145" s="9">
        <v>-969</v>
      </c>
      <c r="C145" s="9">
        <f t="shared" si="6"/>
        <v>40778</v>
      </c>
      <c r="D145" s="11">
        <f t="shared" si="7"/>
        <v>133722</v>
      </c>
    </row>
    <row r="146" spans="1:4" x14ac:dyDescent="0.3">
      <c r="A146" s="271">
        <f t="shared" si="5"/>
        <v>48638</v>
      </c>
      <c r="B146" s="9">
        <v>-969</v>
      </c>
      <c r="C146" s="9">
        <f t="shared" si="6"/>
        <v>39809</v>
      </c>
      <c r="D146" s="11">
        <f t="shared" si="7"/>
        <v>134691</v>
      </c>
    </row>
    <row r="147" spans="1:4" x14ac:dyDescent="0.3">
      <c r="A147" s="271">
        <f t="shared" si="5"/>
        <v>48669</v>
      </c>
      <c r="B147" s="9">
        <v>-969</v>
      </c>
      <c r="C147" s="9">
        <f t="shared" si="6"/>
        <v>38840</v>
      </c>
      <c r="D147" s="11">
        <f t="shared" si="7"/>
        <v>135660</v>
      </c>
    </row>
    <row r="148" spans="1:4" x14ac:dyDescent="0.3">
      <c r="A148" s="271">
        <f t="shared" si="5"/>
        <v>48699</v>
      </c>
      <c r="B148" s="9">
        <v>-969</v>
      </c>
      <c r="C148" s="9">
        <f t="shared" si="6"/>
        <v>37871</v>
      </c>
      <c r="D148" s="11">
        <f t="shared" si="7"/>
        <v>136629</v>
      </c>
    </row>
    <row r="149" spans="1:4" x14ac:dyDescent="0.3">
      <c r="A149" s="271">
        <f t="shared" si="5"/>
        <v>48730</v>
      </c>
      <c r="B149" s="9">
        <v>-969</v>
      </c>
      <c r="C149" s="9">
        <f t="shared" si="6"/>
        <v>36902</v>
      </c>
      <c r="D149" s="11">
        <f t="shared" si="7"/>
        <v>137598</v>
      </c>
    </row>
    <row r="150" spans="1:4" x14ac:dyDescent="0.3">
      <c r="A150" s="271">
        <f t="shared" si="5"/>
        <v>48760</v>
      </c>
      <c r="B150" s="9">
        <v>-969</v>
      </c>
      <c r="C150" s="9">
        <f t="shared" si="6"/>
        <v>35933</v>
      </c>
      <c r="D150" s="11">
        <f t="shared" si="7"/>
        <v>138567</v>
      </c>
    </row>
    <row r="151" spans="1:4" x14ac:dyDescent="0.3">
      <c r="A151" s="271">
        <f t="shared" si="5"/>
        <v>48791</v>
      </c>
      <c r="B151" s="9">
        <v>-969</v>
      </c>
      <c r="C151" s="9">
        <f t="shared" si="6"/>
        <v>34964</v>
      </c>
      <c r="D151" s="11">
        <f t="shared" si="7"/>
        <v>139536</v>
      </c>
    </row>
    <row r="152" spans="1:4" x14ac:dyDescent="0.3">
      <c r="A152" s="271">
        <f t="shared" si="5"/>
        <v>48822</v>
      </c>
      <c r="B152" s="9">
        <v>-969</v>
      </c>
      <c r="C152" s="9">
        <f t="shared" si="6"/>
        <v>33995</v>
      </c>
      <c r="D152" s="11">
        <f t="shared" si="7"/>
        <v>140505</v>
      </c>
    </row>
    <row r="153" spans="1:4" x14ac:dyDescent="0.3">
      <c r="A153" s="271">
        <f t="shared" si="5"/>
        <v>48852</v>
      </c>
      <c r="B153" s="9">
        <v>-969</v>
      </c>
      <c r="C153" s="9">
        <f t="shared" si="6"/>
        <v>33026</v>
      </c>
      <c r="D153" s="11">
        <f t="shared" si="7"/>
        <v>141474</v>
      </c>
    </row>
    <row r="154" spans="1:4" x14ac:dyDescent="0.3">
      <c r="A154" s="271">
        <f t="shared" si="5"/>
        <v>48883</v>
      </c>
      <c r="B154" s="9">
        <v>-969</v>
      </c>
      <c r="C154" s="9">
        <f t="shared" si="6"/>
        <v>32057</v>
      </c>
      <c r="D154" s="11">
        <f t="shared" si="7"/>
        <v>142443</v>
      </c>
    </row>
    <row r="155" spans="1:4" x14ac:dyDescent="0.3">
      <c r="A155" s="271">
        <f t="shared" si="5"/>
        <v>48913</v>
      </c>
      <c r="B155" s="9">
        <v>-969</v>
      </c>
      <c r="C155" s="9">
        <f t="shared" si="6"/>
        <v>31088</v>
      </c>
      <c r="D155" s="11">
        <f t="shared" si="7"/>
        <v>143412</v>
      </c>
    </row>
    <row r="156" spans="1:4" x14ac:dyDescent="0.3">
      <c r="A156" s="271">
        <f t="shared" si="5"/>
        <v>48944</v>
      </c>
      <c r="B156" s="9">
        <v>-969</v>
      </c>
      <c r="C156" s="9">
        <f t="shared" si="6"/>
        <v>30119</v>
      </c>
      <c r="D156" s="11">
        <f t="shared" si="7"/>
        <v>144381</v>
      </c>
    </row>
    <row r="157" spans="1:4" x14ac:dyDescent="0.3">
      <c r="A157" s="271">
        <f t="shared" si="5"/>
        <v>48975</v>
      </c>
      <c r="B157" s="9">
        <v>-969</v>
      </c>
      <c r="C157" s="9">
        <f t="shared" si="6"/>
        <v>29150</v>
      </c>
      <c r="D157" s="11">
        <f t="shared" si="7"/>
        <v>145350</v>
      </c>
    </row>
    <row r="158" spans="1:4" x14ac:dyDescent="0.3">
      <c r="A158" s="271">
        <f t="shared" si="5"/>
        <v>49003</v>
      </c>
      <c r="B158" s="9">
        <v>-969</v>
      </c>
      <c r="C158" s="9">
        <f t="shared" si="6"/>
        <v>28181</v>
      </c>
      <c r="D158" s="11">
        <f t="shared" si="7"/>
        <v>146319</v>
      </c>
    </row>
    <row r="159" spans="1:4" x14ac:dyDescent="0.3">
      <c r="A159" s="271">
        <f t="shared" si="5"/>
        <v>49034</v>
      </c>
      <c r="B159" s="9">
        <v>-969</v>
      </c>
      <c r="C159" s="9">
        <f t="shared" si="6"/>
        <v>27212</v>
      </c>
      <c r="D159" s="11">
        <f t="shared" si="7"/>
        <v>147288</v>
      </c>
    </row>
    <row r="160" spans="1:4" x14ac:dyDescent="0.3">
      <c r="A160" s="271">
        <f t="shared" si="5"/>
        <v>49064</v>
      </c>
      <c r="B160" s="9">
        <v>-969</v>
      </c>
      <c r="C160" s="9">
        <f t="shared" si="6"/>
        <v>26243</v>
      </c>
      <c r="D160" s="11">
        <f t="shared" si="7"/>
        <v>148257</v>
      </c>
    </row>
    <row r="161" spans="1:4" x14ac:dyDescent="0.3">
      <c r="A161" s="271">
        <f t="shared" si="5"/>
        <v>49095</v>
      </c>
      <c r="B161" s="9">
        <v>-969</v>
      </c>
      <c r="C161" s="9">
        <f t="shared" si="6"/>
        <v>25274</v>
      </c>
      <c r="D161" s="11">
        <f t="shared" si="7"/>
        <v>149226</v>
      </c>
    </row>
    <row r="162" spans="1:4" x14ac:dyDescent="0.3">
      <c r="A162" s="271">
        <f t="shared" si="5"/>
        <v>49125</v>
      </c>
      <c r="B162" s="9">
        <v>-969</v>
      </c>
      <c r="C162" s="9">
        <f t="shared" si="6"/>
        <v>24305</v>
      </c>
      <c r="D162" s="11">
        <f t="shared" si="7"/>
        <v>150195</v>
      </c>
    </row>
    <row r="163" spans="1:4" x14ac:dyDescent="0.3">
      <c r="A163" s="271">
        <f t="shared" si="5"/>
        <v>49156</v>
      </c>
      <c r="B163" s="9">
        <v>-969</v>
      </c>
      <c r="C163" s="9">
        <f t="shared" si="6"/>
        <v>23336</v>
      </c>
      <c r="D163" s="11">
        <f t="shared" si="7"/>
        <v>151164</v>
      </c>
    </row>
    <row r="164" spans="1:4" x14ac:dyDescent="0.3">
      <c r="A164" s="271">
        <f t="shared" si="5"/>
        <v>49187</v>
      </c>
      <c r="B164" s="9">
        <v>-969</v>
      </c>
      <c r="C164" s="9">
        <f t="shared" si="6"/>
        <v>22367</v>
      </c>
      <c r="D164" s="11">
        <f t="shared" si="7"/>
        <v>152133</v>
      </c>
    </row>
    <row r="165" spans="1:4" x14ac:dyDescent="0.3">
      <c r="A165" s="271">
        <f t="shared" si="5"/>
        <v>49217</v>
      </c>
      <c r="B165" s="9">
        <v>-969</v>
      </c>
      <c r="C165" s="9">
        <f t="shared" si="6"/>
        <v>21398</v>
      </c>
      <c r="D165" s="11">
        <f t="shared" si="7"/>
        <v>153102</v>
      </c>
    </row>
    <row r="166" spans="1:4" x14ac:dyDescent="0.3">
      <c r="A166" s="271">
        <f t="shared" si="5"/>
        <v>49248</v>
      </c>
      <c r="B166" s="9">
        <v>-969</v>
      </c>
      <c r="C166" s="9">
        <f t="shared" si="6"/>
        <v>20429</v>
      </c>
      <c r="D166" s="11">
        <f t="shared" si="7"/>
        <v>154071</v>
      </c>
    </row>
    <row r="167" spans="1:4" x14ac:dyDescent="0.3">
      <c r="A167" s="271">
        <f t="shared" si="5"/>
        <v>49278</v>
      </c>
      <c r="B167" s="9">
        <v>-969</v>
      </c>
      <c r="C167" s="9">
        <f t="shared" si="6"/>
        <v>19460</v>
      </c>
      <c r="D167" s="11">
        <f t="shared" si="7"/>
        <v>155040</v>
      </c>
    </row>
    <row r="168" spans="1:4" x14ac:dyDescent="0.3">
      <c r="A168" s="271">
        <f t="shared" si="5"/>
        <v>49309</v>
      </c>
      <c r="B168" s="9">
        <v>-969</v>
      </c>
      <c r="C168" s="9">
        <f t="shared" si="6"/>
        <v>18491</v>
      </c>
      <c r="D168" s="11">
        <f t="shared" si="7"/>
        <v>156009</v>
      </c>
    </row>
    <row r="169" spans="1:4" x14ac:dyDescent="0.3">
      <c r="A169" s="271">
        <f t="shared" si="5"/>
        <v>49340</v>
      </c>
      <c r="B169" s="9">
        <v>-969</v>
      </c>
      <c r="C169" s="9">
        <f t="shared" si="6"/>
        <v>17522</v>
      </c>
      <c r="D169" s="11">
        <f t="shared" si="7"/>
        <v>156978</v>
      </c>
    </row>
    <row r="170" spans="1:4" x14ac:dyDescent="0.3">
      <c r="A170" s="271">
        <f t="shared" si="5"/>
        <v>49368</v>
      </c>
      <c r="B170" s="9">
        <v>-969</v>
      </c>
      <c r="C170" s="9">
        <f t="shared" si="6"/>
        <v>16553</v>
      </c>
      <c r="D170" s="11">
        <f t="shared" si="7"/>
        <v>157947</v>
      </c>
    </row>
    <row r="171" spans="1:4" x14ac:dyDescent="0.3">
      <c r="A171" s="271">
        <f t="shared" si="5"/>
        <v>49399</v>
      </c>
      <c r="B171" s="9">
        <v>-969</v>
      </c>
      <c r="C171" s="9">
        <f t="shared" si="6"/>
        <v>15584</v>
      </c>
      <c r="D171" s="11">
        <f t="shared" si="7"/>
        <v>158916</v>
      </c>
    </row>
    <row r="172" spans="1:4" x14ac:dyDescent="0.3">
      <c r="A172" s="271">
        <f t="shared" si="5"/>
        <v>49429</v>
      </c>
      <c r="B172" s="9">
        <v>-969</v>
      </c>
      <c r="C172" s="9">
        <f t="shared" si="6"/>
        <v>14615</v>
      </c>
      <c r="D172" s="11">
        <f t="shared" si="7"/>
        <v>159885</v>
      </c>
    </row>
    <row r="173" spans="1:4" x14ac:dyDescent="0.3">
      <c r="A173" s="271">
        <f t="shared" si="5"/>
        <v>49460</v>
      </c>
      <c r="B173" s="9">
        <v>-969</v>
      </c>
      <c r="C173" s="9">
        <f t="shared" si="6"/>
        <v>13646</v>
      </c>
      <c r="D173" s="11">
        <f t="shared" si="7"/>
        <v>160854</v>
      </c>
    </row>
    <row r="174" spans="1:4" x14ac:dyDescent="0.3">
      <c r="A174" s="271">
        <f t="shared" si="5"/>
        <v>49490</v>
      </c>
      <c r="B174" s="9">
        <v>-969</v>
      </c>
      <c r="C174" s="9">
        <f t="shared" si="6"/>
        <v>12677</v>
      </c>
      <c r="D174" s="11">
        <f t="shared" si="7"/>
        <v>161823</v>
      </c>
    </row>
    <row r="175" spans="1:4" x14ac:dyDescent="0.3">
      <c r="A175" s="271">
        <f t="shared" si="5"/>
        <v>49521</v>
      </c>
      <c r="B175" s="9">
        <v>-969</v>
      </c>
      <c r="C175" s="9">
        <f t="shared" si="6"/>
        <v>11708</v>
      </c>
      <c r="D175" s="11">
        <f t="shared" si="7"/>
        <v>162792</v>
      </c>
    </row>
    <row r="176" spans="1:4" x14ac:dyDescent="0.3">
      <c r="A176" s="271">
        <f t="shared" si="5"/>
        <v>49552</v>
      </c>
      <c r="B176" s="9">
        <v>-969</v>
      </c>
      <c r="C176" s="9">
        <f t="shared" si="6"/>
        <v>10739</v>
      </c>
      <c r="D176" s="11">
        <f t="shared" si="7"/>
        <v>163761</v>
      </c>
    </row>
    <row r="177" spans="1:4" x14ac:dyDescent="0.3">
      <c r="A177" s="271">
        <f t="shared" si="5"/>
        <v>49582</v>
      </c>
      <c r="B177" s="9">
        <v>-969</v>
      </c>
      <c r="C177" s="9">
        <f t="shared" si="6"/>
        <v>9770</v>
      </c>
      <c r="D177" s="11">
        <f t="shared" si="7"/>
        <v>164730</v>
      </c>
    </row>
    <row r="178" spans="1:4" x14ac:dyDescent="0.3">
      <c r="A178" s="271">
        <f t="shared" ref="A178:A187" si="8">EOMONTH(A177,1)</f>
        <v>49613</v>
      </c>
      <c r="B178" s="9">
        <v>-969</v>
      </c>
      <c r="C178" s="9">
        <f t="shared" si="6"/>
        <v>8801</v>
      </c>
      <c r="D178" s="11">
        <f t="shared" si="7"/>
        <v>165699</v>
      </c>
    </row>
    <row r="179" spans="1:4" x14ac:dyDescent="0.3">
      <c r="A179" s="271">
        <f t="shared" si="8"/>
        <v>49643</v>
      </c>
      <c r="B179" s="9">
        <v>-969</v>
      </c>
      <c r="C179" s="9">
        <f t="shared" si="6"/>
        <v>7832</v>
      </c>
      <c r="D179" s="11">
        <f t="shared" si="7"/>
        <v>166668</v>
      </c>
    </row>
    <row r="180" spans="1:4" x14ac:dyDescent="0.3">
      <c r="A180" s="271">
        <f t="shared" si="8"/>
        <v>49674</v>
      </c>
      <c r="B180" s="9">
        <v>-969</v>
      </c>
      <c r="C180" s="9">
        <f t="shared" si="6"/>
        <v>6863</v>
      </c>
      <c r="D180" s="11">
        <f t="shared" si="7"/>
        <v>167637</v>
      </c>
    </row>
    <row r="181" spans="1:4" x14ac:dyDescent="0.3">
      <c r="A181" s="271">
        <f t="shared" si="8"/>
        <v>49705</v>
      </c>
      <c r="B181" s="9">
        <v>-969</v>
      </c>
      <c r="C181" s="9">
        <f t="shared" si="6"/>
        <v>5894</v>
      </c>
      <c r="D181" s="11">
        <f t="shared" si="7"/>
        <v>168606</v>
      </c>
    </row>
    <row r="182" spans="1:4" x14ac:dyDescent="0.3">
      <c r="A182" s="271">
        <f t="shared" si="8"/>
        <v>49734</v>
      </c>
      <c r="B182" s="9">
        <v>-969</v>
      </c>
      <c r="C182" s="9">
        <f t="shared" si="6"/>
        <v>4925</v>
      </c>
      <c r="D182" s="11">
        <f t="shared" si="7"/>
        <v>169575</v>
      </c>
    </row>
    <row r="183" spans="1:4" x14ac:dyDescent="0.3">
      <c r="A183" s="271">
        <f t="shared" si="8"/>
        <v>49765</v>
      </c>
      <c r="B183" s="9">
        <v>-969</v>
      </c>
      <c r="C183" s="9">
        <f t="shared" si="6"/>
        <v>3956</v>
      </c>
      <c r="D183" s="11">
        <f t="shared" si="7"/>
        <v>170544</v>
      </c>
    </row>
    <row r="184" spans="1:4" x14ac:dyDescent="0.3">
      <c r="A184" s="271">
        <f t="shared" si="8"/>
        <v>49795</v>
      </c>
      <c r="B184" s="9">
        <v>-969</v>
      </c>
      <c r="C184" s="9">
        <f t="shared" si="6"/>
        <v>2987</v>
      </c>
      <c r="D184" s="11">
        <f t="shared" si="7"/>
        <v>171513</v>
      </c>
    </row>
    <row r="185" spans="1:4" x14ac:dyDescent="0.3">
      <c r="A185" s="271">
        <f t="shared" si="8"/>
        <v>49826</v>
      </c>
      <c r="B185" s="9">
        <v>-969</v>
      </c>
      <c r="C185" s="9">
        <f t="shared" si="6"/>
        <v>2018</v>
      </c>
      <c r="D185" s="11">
        <f t="shared" si="7"/>
        <v>172482</v>
      </c>
    </row>
    <row r="186" spans="1:4" x14ac:dyDescent="0.3">
      <c r="A186" s="271">
        <f t="shared" si="8"/>
        <v>49856</v>
      </c>
      <c r="B186" s="9">
        <v>-969</v>
      </c>
      <c r="C186" s="9">
        <f t="shared" si="6"/>
        <v>1049</v>
      </c>
      <c r="D186" s="11">
        <f t="shared" si="7"/>
        <v>173451</v>
      </c>
    </row>
    <row r="187" spans="1:4" x14ac:dyDescent="0.3">
      <c r="A187" s="271">
        <f t="shared" si="8"/>
        <v>49887</v>
      </c>
      <c r="B187" s="9">
        <v>-969</v>
      </c>
      <c r="C187" s="9">
        <f t="shared" si="6"/>
        <v>80</v>
      </c>
      <c r="D187" s="11">
        <f t="shared" si="7"/>
        <v>174420</v>
      </c>
    </row>
    <row r="188" spans="1:4" x14ac:dyDescent="0.3">
      <c r="A188" s="8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068D-7F41-4539-8D60-90341703493D}">
  <sheetPr>
    <tabColor rgb="FF92D050"/>
  </sheetPr>
  <dimension ref="A1:I38"/>
  <sheetViews>
    <sheetView workbookViewId="0">
      <selection activeCell="H12" sqref="H12"/>
    </sheetView>
  </sheetViews>
  <sheetFormatPr defaultRowHeight="14.4" x14ac:dyDescent="0.3"/>
  <cols>
    <col min="1" max="1" width="25.33203125" customWidth="1"/>
    <col min="2" max="2" width="12.33203125" bestFit="1" customWidth="1"/>
    <col min="3" max="3" width="11.5546875" bestFit="1" customWidth="1"/>
    <col min="4" max="4" width="11.33203125" bestFit="1" customWidth="1"/>
    <col min="5" max="5" width="12.5546875" bestFit="1" customWidth="1"/>
    <col min="6" max="6" width="12.5546875" customWidth="1"/>
    <col min="7" max="7" width="15.5546875" bestFit="1" customWidth="1"/>
    <col min="8" max="8" width="12.5546875" customWidth="1"/>
    <col min="9" max="9" width="57.33203125" bestFit="1" customWidth="1"/>
  </cols>
  <sheetData>
    <row r="1" spans="1:9" x14ac:dyDescent="0.3">
      <c r="A1" t="s">
        <v>45</v>
      </c>
    </row>
    <row r="4" spans="1:9" x14ac:dyDescent="0.3">
      <c r="A4" s="76" t="s">
        <v>22</v>
      </c>
      <c r="B4" s="76" t="s">
        <v>23</v>
      </c>
      <c r="C4" s="76" t="s">
        <v>24</v>
      </c>
      <c r="D4" s="76" t="s">
        <v>13</v>
      </c>
      <c r="E4" s="76" t="s">
        <v>40</v>
      </c>
      <c r="F4" s="76" t="s">
        <v>41</v>
      </c>
      <c r="G4" s="76" t="s">
        <v>42</v>
      </c>
      <c r="H4" s="76" t="s">
        <v>43</v>
      </c>
      <c r="I4" s="77" t="s">
        <v>44</v>
      </c>
    </row>
    <row r="5" spans="1:9" x14ac:dyDescent="0.3">
      <c r="A5" s="55" t="s">
        <v>340</v>
      </c>
      <c r="B5" s="54">
        <v>12186.5</v>
      </c>
      <c r="C5" s="53">
        <v>45657</v>
      </c>
      <c r="D5" s="53">
        <v>45657</v>
      </c>
      <c r="E5" s="54">
        <f>SUM('Sales commission detail'!I2:I20)</f>
        <v>12186.5</v>
      </c>
      <c r="F5" s="19"/>
      <c r="G5" s="19">
        <v>12186.5</v>
      </c>
      <c r="H5" s="19">
        <f>E5-G5</f>
        <v>0</v>
      </c>
    </row>
    <row r="6" spans="1:9" x14ac:dyDescent="0.3">
      <c r="A6" s="55" t="s">
        <v>340</v>
      </c>
      <c r="B6" s="54">
        <v>609</v>
      </c>
      <c r="C6" s="53">
        <v>45688</v>
      </c>
      <c r="D6" s="53">
        <v>45688</v>
      </c>
      <c r="E6" s="54">
        <f>'Sales commission detail'!I21</f>
        <v>609</v>
      </c>
      <c r="F6" s="19"/>
      <c r="G6" s="19">
        <v>609</v>
      </c>
      <c r="H6" s="19">
        <f>E6-G6</f>
        <v>0</v>
      </c>
    </row>
    <row r="7" spans="1:9" x14ac:dyDescent="0.3">
      <c r="A7" s="55" t="s">
        <v>340</v>
      </c>
      <c r="B7" s="54">
        <v>174.75</v>
      </c>
      <c r="C7" s="53">
        <v>45688</v>
      </c>
      <c r="D7" s="53">
        <v>45688</v>
      </c>
      <c r="E7" s="54">
        <f>B7</f>
        <v>174.75</v>
      </c>
      <c r="F7" s="19"/>
      <c r="G7" s="19"/>
      <c r="H7" s="19">
        <f>E7-G7</f>
        <v>174.75</v>
      </c>
    </row>
    <row r="8" spans="1:9" x14ac:dyDescent="0.3">
      <c r="A8" s="55" t="s">
        <v>368</v>
      </c>
      <c r="B8" s="54">
        <v>468.66</v>
      </c>
      <c r="C8" s="14">
        <v>45716</v>
      </c>
      <c r="D8" s="14">
        <v>45716</v>
      </c>
      <c r="E8" s="54">
        <f t="shared" ref="E8:E9" si="0">B8</f>
        <v>468.66</v>
      </c>
      <c r="F8" s="79">
        <v>45768</v>
      </c>
      <c r="G8" s="19">
        <v>468.66</v>
      </c>
      <c r="H8" s="19">
        <f t="shared" ref="H8:H9" si="1">E8-G8</f>
        <v>0</v>
      </c>
    </row>
    <row r="9" spans="1:9" x14ac:dyDescent="0.3">
      <c r="A9" s="55" t="s">
        <v>368</v>
      </c>
      <c r="B9" s="54">
        <v>468.66</v>
      </c>
      <c r="C9" s="14">
        <v>45747</v>
      </c>
      <c r="D9" s="14">
        <v>45747</v>
      </c>
      <c r="E9" s="54">
        <f t="shared" si="0"/>
        <v>468.66</v>
      </c>
      <c r="F9" s="19"/>
      <c r="G9" s="19">
        <v>468.66</v>
      </c>
      <c r="H9" s="19">
        <f t="shared" si="1"/>
        <v>0</v>
      </c>
      <c r="I9" s="11"/>
    </row>
    <row r="10" spans="1:9" x14ac:dyDescent="0.3">
      <c r="A10" s="55" t="s">
        <v>368</v>
      </c>
      <c r="B10" s="54">
        <v>468.66</v>
      </c>
      <c r="C10" s="14">
        <v>45777</v>
      </c>
      <c r="D10" s="14">
        <v>45777</v>
      </c>
      <c r="E10" s="54">
        <f t="shared" ref="E10:E19" si="2">B10</f>
        <v>468.66</v>
      </c>
      <c r="F10" s="19"/>
      <c r="G10" s="19">
        <v>468.66</v>
      </c>
      <c r="H10" s="19">
        <f t="shared" ref="H10:H22" si="3">E10-G10</f>
        <v>0</v>
      </c>
      <c r="I10" s="11"/>
    </row>
    <row r="11" spans="1:9" x14ac:dyDescent="0.3">
      <c r="A11" s="55" t="s">
        <v>340</v>
      </c>
      <c r="B11" s="54">
        <v>2375</v>
      </c>
      <c r="C11" s="14">
        <v>45777</v>
      </c>
      <c r="D11" s="14">
        <v>45777</v>
      </c>
      <c r="E11" s="54">
        <f t="shared" si="2"/>
        <v>2375</v>
      </c>
      <c r="F11" s="19"/>
      <c r="G11" s="19"/>
      <c r="H11" s="19">
        <f t="shared" si="3"/>
        <v>2375</v>
      </c>
      <c r="I11" s="11"/>
    </row>
    <row r="12" spans="1:9" x14ac:dyDescent="0.3">
      <c r="A12" s="55" t="s">
        <v>340</v>
      </c>
      <c r="B12" s="54">
        <v>600</v>
      </c>
      <c r="C12" s="14">
        <v>45808</v>
      </c>
      <c r="D12" s="14">
        <v>45808</v>
      </c>
      <c r="E12" s="54">
        <f t="shared" si="2"/>
        <v>600</v>
      </c>
      <c r="G12" s="19"/>
      <c r="H12" s="19">
        <f t="shared" si="3"/>
        <v>600</v>
      </c>
    </row>
    <row r="13" spans="1:9" x14ac:dyDescent="0.3">
      <c r="A13" s="55" t="s">
        <v>368</v>
      </c>
      <c r="B13" s="54">
        <v>468.66</v>
      </c>
      <c r="C13" s="14">
        <v>45808</v>
      </c>
      <c r="D13" s="14">
        <v>45808</v>
      </c>
      <c r="E13" s="54">
        <f t="shared" si="2"/>
        <v>468.66</v>
      </c>
      <c r="G13" s="19">
        <v>468.66</v>
      </c>
      <c r="H13" s="19">
        <f t="shared" si="3"/>
        <v>0</v>
      </c>
    </row>
    <row r="14" spans="1:9" x14ac:dyDescent="0.3">
      <c r="A14" s="55" t="s">
        <v>368</v>
      </c>
      <c r="B14" s="54">
        <v>468.66</v>
      </c>
      <c r="C14" s="14">
        <v>45838</v>
      </c>
      <c r="D14" s="14">
        <v>45838</v>
      </c>
      <c r="E14" s="54">
        <f t="shared" si="2"/>
        <v>468.66</v>
      </c>
      <c r="F14" s="14">
        <v>45887</v>
      </c>
      <c r="G14" s="19">
        <v>468.66</v>
      </c>
      <c r="H14" s="19">
        <f t="shared" si="3"/>
        <v>0</v>
      </c>
    </row>
    <row r="15" spans="1:9" x14ac:dyDescent="0.3">
      <c r="A15" s="55" t="s">
        <v>399</v>
      </c>
      <c r="B15" s="54">
        <v>649.59</v>
      </c>
      <c r="C15" s="14"/>
      <c r="D15" s="14"/>
      <c r="E15" s="54">
        <f t="shared" si="2"/>
        <v>649.59</v>
      </c>
      <c r="G15">
        <v>649.59</v>
      </c>
      <c r="H15" s="19">
        <f t="shared" si="3"/>
        <v>0</v>
      </c>
    </row>
    <row r="16" spans="1:9" x14ac:dyDescent="0.3">
      <c r="A16" s="55" t="s">
        <v>423</v>
      </c>
      <c r="B16" s="54">
        <v>456.25</v>
      </c>
      <c r="C16" s="14">
        <v>45869</v>
      </c>
      <c r="D16" s="14">
        <v>45930</v>
      </c>
      <c r="E16" s="54">
        <f t="shared" si="2"/>
        <v>456.25</v>
      </c>
      <c r="G16" s="19">
        <v>456.25</v>
      </c>
      <c r="H16" s="19">
        <f t="shared" si="3"/>
        <v>0</v>
      </c>
    </row>
    <row r="17" spans="1:9" x14ac:dyDescent="0.3">
      <c r="A17" s="55" t="s">
        <v>368</v>
      </c>
      <c r="B17" s="54">
        <v>468.66</v>
      </c>
      <c r="C17" s="14">
        <v>45869</v>
      </c>
      <c r="D17" s="14">
        <v>45869</v>
      </c>
      <c r="E17" s="54">
        <f t="shared" si="2"/>
        <v>468.66</v>
      </c>
      <c r="G17" s="19">
        <v>468.66</v>
      </c>
      <c r="H17" s="19">
        <f t="shared" si="3"/>
        <v>0</v>
      </c>
    </row>
    <row r="18" spans="1:9" x14ac:dyDescent="0.3">
      <c r="A18" s="55" t="s">
        <v>368</v>
      </c>
      <c r="B18" s="54">
        <v>468.66</v>
      </c>
      <c r="C18" s="14">
        <v>45900</v>
      </c>
      <c r="D18" s="14">
        <v>45900</v>
      </c>
      <c r="E18" s="54">
        <f t="shared" si="2"/>
        <v>468.66</v>
      </c>
      <c r="G18" s="19">
        <v>468.66</v>
      </c>
      <c r="H18" s="19">
        <f t="shared" si="3"/>
        <v>0</v>
      </c>
    </row>
    <row r="19" spans="1:9" x14ac:dyDescent="0.3">
      <c r="A19" s="55" t="s">
        <v>424</v>
      </c>
      <c r="B19" s="54">
        <v>468.66</v>
      </c>
      <c r="C19" s="14">
        <v>45930</v>
      </c>
      <c r="D19" s="14">
        <v>45930</v>
      </c>
      <c r="E19" s="54">
        <f t="shared" si="2"/>
        <v>468.66</v>
      </c>
      <c r="G19" s="19">
        <v>468.66</v>
      </c>
      <c r="H19" s="19">
        <f t="shared" si="3"/>
        <v>0</v>
      </c>
      <c r="I19" t="s">
        <v>460</v>
      </c>
    </row>
    <row r="20" spans="1:9" x14ac:dyDescent="0.3">
      <c r="A20" s="55" t="s">
        <v>424</v>
      </c>
      <c r="B20" s="54">
        <v>468.66</v>
      </c>
      <c r="C20" s="14">
        <v>45961</v>
      </c>
      <c r="D20" s="14">
        <v>45961</v>
      </c>
      <c r="E20" s="54">
        <f t="shared" ref="E20" si="4">B20</f>
        <v>468.66</v>
      </c>
      <c r="G20" s="19">
        <v>468.66</v>
      </c>
      <c r="H20" s="19">
        <f t="shared" ref="H20:H21" si="5">E20-G20</f>
        <v>0</v>
      </c>
      <c r="I20" t="s">
        <v>460</v>
      </c>
    </row>
    <row r="21" spans="1:9" x14ac:dyDescent="0.3">
      <c r="A21" s="55" t="s">
        <v>424</v>
      </c>
      <c r="B21" s="54">
        <v>468.66</v>
      </c>
      <c r="C21" s="14">
        <v>45991</v>
      </c>
      <c r="D21" s="14">
        <v>45991</v>
      </c>
      <c r="E21" s="54">
        <f t="shared" ref="E21" si="6">B21</f>
        <v>468.66</v>
      </c>
      <c r="G21" s="19">
        <v>468.66</v>
      </c>
      <c r="H21" s="19">
        <f t="shared" si="5"/>
        <v>0</v>
      </c>
      <c r="I21" t="s">
        <v>460</v>
      </c>
    </row>
    <row r="22" spans="1:9" x14ac:dyDescent="0.3">
      <c r="A22" s="55"/>
      <c r="B22" s="54"/>
      <c r="C22" s="14"/>
      <c r="D22" s="14"/>
      <c r="E22" s="54"/>
      <c r="H22" s="19">
        <f t="shared" si="3"/>
        <v>0</v>
      </c>
      <c r="I22" t="s">
        <v>457</v>
      </c>
    </row>
    <row r="23" spans="1:9" ht="15" thickBot="1" x14ac:dyDescent="0.35">
      <c r="A23" t="s">
        <v>7</v>
      </c>
      <c r="B23" s="78">
        <f>SUM(B5:B12)</f>
        <v>17351.23</v>
      </c>
      <c r="C23" s="79"/>
      <c r="D23" s="80"/>
      <c r="E23" s="81"/>
      <c r="F23" s="81"/>
      <c r="G23" s="82" t="s">
        <v>79</v>
      </c>
      <c r="H23" s="359">
        <f>SUM(H5:H22)</f>
        <v>3149.75</v>
      </c>
    </row>
    <row r="24" spans="1:9" ht="15" thickTop="1" x14ac:dyDescent="0.3">
      <c r="B24" s="19"/>
      <c r="C24" s="79"/>
      <c r="D24" s="80"/>
      <c r="E24" s="81"/>
      <c r="F24" s="81"/>
      <c r="G24" s="81"/>
      <c r="H24" s="81"/>
    </row>
    <row r="25" spans="1:9" x14ac:dyDescent="0.3">
      <c r="G25" s="49" t="s">
        <v>26</v>
      </c>
      <c r="H25" s="9">
        <v>3149.75</v>
      </c>
    </row>
    <row r="26" spans="1:9" x14ac:dyDescent="0.3">
      <c r="B26" s="9"/>
      <c r="C26" s="83"/>
      <c r="D26" s="84"/>
      <c r="E26" s="85"/>
      <c r="F26" s="85"/>
      <c r="G26" s="195" t="s">
        <v>80</v>
      </c>
      <c r="H26" s="85">
        <f>H23-H25</f>
        <v>0</v>
      </c>
    </row>
    <row r="27" spans="1:9" x14ac:dyDescent="0.3">
      <c r="B27" s="9"/>
      <c r="C27" s="83"/>
      <c r="D27" s="84"/>
      <c r="E27" s="85"/>
      <c r="F27" s="85"/>
      <c r="G27" s="85"/>
      <c r="H27" s="85"/>
    </row>
    <row r="28" spans="1:9" x14ac:dyDescent="0.3">
      <c r="B28" s="9"/>
      <c r="C28" s="83"/>
      <c r="D28" s="84"/>
      <c r="E28" s="85"/>
      <c r="F28" s="85"/>
      <c r="G28" s="85"/>
      <c r="H28" s="85"/>
    </row>
    <row r="29" spans="1:9" x14ac:dyDescent="0.3">
      <c r="C29" s="11"/>
    </row>
    <row r="30" spans="1:9" x14ac:dyDescent="0.3">
      <c r="B30" s="12"/>
      <c r="C30" s="12"/>
      <c r="D30" s="12"/>
      <c r="I30" s="11"/>
    </row>
    <row r="31" spans="1:9" x14ac:dyDescent="0.3">
      <c r="I31" s="11"/>
    </row>
    <row r="32" spans="1:9" x14ac:dyDescent="0.3">
      <c r="I32" s="11"/>
    </row>
    <row r="33" spans="9:9" x14ac:dyDescent="0.3">
      <c r="I33" s="11"/>
    </row>
    <row r="34" spans="9:9" x14ac:dyDescent="0.3">
      <c r="I34" s="11"/>
    </row>
    <row r="35" spans="9:9" x14ac:dyDescent="0.3">
      <c r="I35" s="11"/>
    </row>
    <row r="36" spans="9:9" x14ac:dyDescent="0.3">
      <c r="I36" s="11"/>
    </row>
    <row r="37" spans="9:9" x14ac:dyDescent="0.3">
      <c r="I37" s="11"/>
    </row>
    <row r="38" spans="9:9" x14ac:dyDescent="0.3">
      <c r="I38" s="11"/>
    </row>
  </sheetData>
  <phoneticPr fontId="5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80EB-9BA0-483C-99A6-55E4327D51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8B5C-83A8-4FED-8D1A-42B194123EDC}">
  <dimension ref="A1:I32"/>
  <sheetViews>
    <sheetView topLeftCell="B1" workbookViewId="0">
      <selection activeCell="I32" sqref="I32"/>
    </sheetView>
  </sheetViews>
  <sheetFormatPr defaultRowHeight="14.4" x14ac:dyDescent="0.3"/>
  <cols>
    <col min="1" max="8" width="24.88671875" customWidth="1"/>
    <col min="9" max="9" width="10.88671875" bestFit="1" customWidth="1"/>
  </cols>
  <sheetData>
    <row r="1" spans="1:9" ht="54.6" thickBot="1" x14ac:dyDescent="0.4">
      <c r="A1" s="310" t="s">
        <v>323</v>
      </c>
      <c r="B1" s="311" t="s">
        <v>324</v>
      </c>
      <c r="C1" s="311" t="s">
        <v>325</v>
      </c>
      <c r="D1" s="311" t="s">
        <v>326</v>
      </c>
      <c r="E1" s="311" t="s">
        <v>327</v>
      </c>
      <c r="F1" s="311" t="s">
        <v>328</v>
      </c>
      <c r="G1" s="312" t="s">
        <v>329</v>
      </c>
      <c r="H1" s="313" t="s">
        <v>330</v>
      </c>
    </row>
    <row r="2" spans="1:9" ht="15.6" x14ac:dyDescent="0.3">
      <c r="A2" s="299">
        <v>45295</v>
      </c>
      <c r="B2" s="300" t="s">
        <v>238</v>
      </c>
      <c r="C2" s="301">
        <v>8500</v>
      </c>
      <c r="D2" s="301">
        <v>850</v>
      </c>
      <c r="E2" s="300" t="s">
        <v>303</v>
      </c>
      <c r="F2" s="302">
        <v>0.1</v>
      </c>
      <c r="G2" s="300" t="s">
        <v>304</v>
      </c>
      <c r="H2" s="300" t="s">
        <v>305</v>
      </c>
      <c r="I2" s="9">
        <f>D2</f>
        <v>850</v>
      </c>
    </row>
    <row r="3" spans="1:9" ht="15.6" x14ac:dyDescent="0.3">
      <c r="A3" s="299">
        <v>45299</v>
      </c>
      <c r="B3" s="300" t="s">
        <v>239</v>
      </c>
      <c r="C3" s="301">
        <v>12250</v>
      </c>
      <c r="D3" s="301">
        <v>1225</v>
      </c>
      <c r="E3" s="300" t="s">
        <v>303</v>
      </c>
      <c r="F3" s="302">
        <v>0.1</v>
      </c>
      <c r="G3" s="300" t="s">
        <v>304</v>
      </c>
      <c r="H3" s="300" t="s">
        <v>305</v>
      </c>
      <c r="I3" s="9">
        <v>1225</v>
      </c>
    </row>
    <row r="4" spans="1:9" ht="15.6" x14ac:dyDescent="0.3">
      <c r="A4" s="299">
        <v>45301</v>
      </c>
      <c r="B4" s="300" t="s">
        <v>306</v>
      </c>
      <c r="C4" s="301">
        <v>19000</v>
      </c>
      <c r="D4" s="301">
        <v>1900</v>
      </c>
      <c r="E4" s="300" t="s">
        <v>307</v>
      </c>
      <c r="F4" s="302">
        <v>0.1</v>
      </c>
      <c r="G4" s="300" t="s">
        <v>304</v>
      </c>
      <c r="H4" s="300" t="s">
        <v>305</v>
      </c>
      <c r="I4" s="9">
        <v>1900</v>
      </c>
    </row>
    <row r="5" spans="1:9" ht="15.6" x14ac:dyDescent="0.3">
      <c r="A5" s="299">
        <v>45340</v>
      </c>
      <c r="B5" s="300" t="s">
        <v>241</v>
      </c>
      <c r="C5" s="301">
        <v>12250</v>
      </c>
      <c r="D5" s="301">
        <v>1250</v>
      </c>
      <c r="E5" s="300" t="s">
        <v>308</v>
      </c>
      <c r="F5" s="302">
        <v>0.1</v>
      </c>
      <c r="G5" s="300" t="s">
        <v>304</v>
      </c>
      <c r="H5" s="300"/>
      <c r="I5" s="9">
        <v>0</v>
      </c>
    </row>
    <row r="6" spans="1:9" ht="15.6" x14ac:dyDescent="0.3">
      <c r="A6" s="299">
        <v>45390</v>
      </c>
      <c r="B6" s="300" t="s">
        <v>243</v>
      </c>
      <c r="C6" s="301">
        <v>20000</v>
      </c>
      <c r="D6" s="301">
        <v>1000</v>
      </c>
      <c r="E6" s="300" t="s">
        <v>308</v>
      </c>
      <c r="F6" s="302">
        <v>0.05</v>
      </c>
      <c r="G6" s="300" t="s">
        <v>304</v>
      </c>
      <c r="H6" s="300"/>
      <c r="I6" s="9">
        <v>0</v>
      </c>
    </row>
    <row r="7" spans="1:9" ht="15.6" x14ac:dyDescent="0.3">
      <c r="A7" s="299">
        <v>45392</v>
      </c>
      <c r="B7" s="300" t="s">
        <v>244</v>
      </c>
      <c r="C7" s="301">
        <v>12500</v>
      </c>
      <c r="D7" s="301">
        <v>625</v>
      </c>
      <c r="E7" s="300" t="s">
        <v>308</v>
      </c>
      <c r="F7" s="303">
        <v>0.05</v>
      </c>
      <c r="G7" s="300" t="s">
        <v>304</v>
      </c>
      <c r="H7" s="300"/>
      <c r="I7" s="9">
        <v>0</v>
      </c>
    </row>
    <row r="8" spans="1:9" ht="15.6" x14ac:dyDescent="0.3">
      <c r="A8" s="299">
        <v>45444</v>
      </c>
      <c r="B8" s="300" t="s">
        <v>245</v>
      </c>
      <c r="C8" s="301">
        <v>8000</v>
      </c>
      <c r="D8" s="301">
        <v>800</v>
      </c>
      <c r="E8" s="300" t="s">
        <v>309</v>
      </c>
      <c r="F8" s="302">
        <v>0.1</v>
      </c>
      <c r="G8" s="300" t="s">
        <v>304</v>
      </c>
      <c r="H8" s="300" t="s">
        <v>305</v>
      </c>
      <c r="I8" s="9">
        <v>800</v>
      </c>
    </row>
    <row r="9" spans="1:9" ht="15.6" x14ac:dyDescent="0.3">
      <c r="A9" s="299">
        <v>45426</v>
      </c>
      <c r="B9" s="300" t="s">
        <v>310</v>
      </c>
      <c r="C9" s="301">
        <v>24500</v>
      </c>
      <c r="D9" s="301">
        <v>1225</v>
      </c>
      <c r="E9" s="300" t="s">
        <v>311</v>
      </c>
      <c r="F9" s="302">
        <v>0.05</v>
      </c>
      <c r="G9" s="304">
        <v>1225</v>
      </c>
      <c r="H9" s="300"/>
      <c r="I9" s="9">
        <v>0</v>
      </c>
    </row>
    <row r="10" spans="1:9" ht="15.6" x14ac:dyDescent="0.3">
      <c r="A10" s="299">
        <v>45444</v>
      </c>
      <c r="B10" s="300" t="s">
        <v>252</v>
      </c>
      <c r="C10" s="301">
        <v>22500</v>
      </c>
      <c r="D10" s="301">
        <v>2250</v>
      </c>
      <c r="E10" s="300" t="s">
        <v>312</v>
      </c>
      <c r="F10" s="302">
        <v>0.1</v>
      </c>
      <c r="G10" s="301">
        <v>1125</v>
      </c>
      <c r="H10" s="300" t="s">
        <v>305</v>
      </c>
      <c r="I10" s="9">
        <v>1125</v>
      </c>
    </row>
    <row r="11" spans="1:9" ht="15.6" x14ac:dyDescent="0.3">
      <c r="A11" s="305">
        <v>45792</v>
      </c>
      <c r="B11" s="300" t="s">
        <v>313</v>
      </c>
      <c r="C11" s="301">
        <v>11000</v>
      </c>
      <c r="D11" s="301">
        <v>1100</v>
      </c>
      <c r="E11" s="300" t="s">
        <v>312</v>
      </c>
      <c r="F11" s="302">
        <v>0.1</v>
      </c>
      <c r="G11" s="301">
        <v>550</v>
      </c>
      <c r="H11" s="300" t="s">
        <v>305</v>
      </c>
      <c r="I11" s="9">
        <v>550</v>
      </c>
    </row>
    <row r="12" spans="1:9" ht="15.6" x14ac:dyDescent="0.3">
      <c r="A12" s="299">
        <v>45432</v>
      </c>
      <c r="B12" s="300" t="s">
        <v>314</v>
      </c>
      <c r="C12" s="301">
        <v>12250</v>
      </c>
      <c r="D12" s="301">
        <v>1225</v>
      </c>
      <c r="E12" s="300" t="s">
        <v>315</v>
      </c>
      <c r="F12" s="302">
        <v>0.1</v>
      </c>
      <c r="G12" s="300"/>
      <c r="H12" s="300" t="s">
        <v>305</v>
      </c>
      <c r="I12" s="9">
        <v>1225</v>
      </c>
    </row>
    <row r="13" spans="1:9" ht="15.6" x14ac:dyDescent="0.3">
      <c r="A13" s="299">
        <v>45435</v>
      </c>
      <c r="B13" s="300" t="s">
        <v>316</v>
      </c>
      <c r="C13" s="301">
        <v>11360</v>
      </c>
      <c r="D13" s="301">
        <v>1136</v>
      </c>
      <c r="E13" s="300" t="s">
        <v>312</v>
      </c>
      <c r="F13" s="302">
        <v>0.1</v>
      </c>
      <c r="G13" s="301">
        <v>568</v>
      </c>
      <c r="H13" s="300" t="s">
        <v>305</v>
      </c>
      <c r="I13" s="9">
        <v>568</v>
      </c>
    </row>
    <row r="14" spans="1:9" ht="15.6" x14ac:dyDescent="0.3">
      <c r="A14" s="299">
        <v>45444</v>
      </c>
      <c r="B14" s="300" t="s">
        <v>317</v>
      </c>
      <c r="C14" s="301">
        <v>26000</v>
      </c>
      <c r="D14" s="301">
        <v>1300</v>
      </c>
      <c r="E14" s="300" t="s">
        <v>311</v>
      </c>
      <c r="F14" s="302">
        <v>0.05</v>
      </c>
      <c r="G14" s="304">
        <v>1300</v>
      </c>
      <c r="H14" s="300"/>
      <c r="I14" s="9">
        <v>0</v>
      </c>
    </row>
    <row r="15" spans="1:9" ht="15.6" x14ac:dyDescent="0.3">
      <c r="A15" s="306">
        <v>45466</v>
      </c>
      <c r="B15" s="307" t="s">
        <v>253</v>
      </c>
      <c r="C15" s="308">
        <v>10500</v>
      </c>
      <c r="D15" s="301">
        <v>1050</v>
      </c>
      <c r="E15" s="300" t="s">
        <v>318</v>
      </c>
      <c r="F15" s="302">
        <v>0.1</v>
      </c>
      <c r="G15" s="300"/>
      <c r="H15" s="300" t="s">
        <v>305</v>
      </c>
      <c r="I15" s="9">
        <v>1050</v>
      </c>
    </row>
    <row r="16" spans="1:9" ht="15.6" x14ac:dyDescent="0.3">
      <c r="A16" s="309">
        <v>45474</v>
      </c>
      <c r="B16" s="307" t="s">
        <v>254</v>
      </c>
      <c r="C16" s="308">
        <v>12000</v>
      </c>
      <c r="D16" s="301">
        <v>1200</v>
      </c>
      <c r="E16" s="300" t="s">
        <v>318</v>
      </c>
      <c r="F16" s="302">
        <v>0.1</v>
      </c>
      <c r="G16" s="300"/>
      <c r="H16" s="300" t="s">
        <v>305</v>
      </c>
      <c r="I16" s="9">
        <v>1200</v>
      </c>
    </row>
    <row r="17" spans="1:9" ht="15.6" x14ac:dyDescent="0.3">
      <c r="A17" s="306">
        <v>45589</v>
      </c>
      <c r="B17" s="307" t="s">
        <v>319</v>
      </c>
      <c r="C17" s="301">
        <v>3045</v>
      </c>
      <c r="D17" s="301">
        <v>304.5</v>
      </c>
      <c r="E17" s="300" t="s">
        <v>318</v>
      </c>
      <c r="F17" s="302">
        <v>0.1</v>
      </c>
      <c r="G17" s="300"/>
      <c r="H17" s="300" t="s">
        <v>305</v>
      </c>
      <c r="I17" s="9">
        <v>304.5</v>
      </c>
    </row>
    <row r="18" spans="1:9" ht="15.6" x14ac:dyDescent="0.3">
      <c r="A18" s="306">
        <v>45594</v>
      </c>
      <c r="B18" s="307" t="s">
        <v>320</v>
      </c>
      <c r="C18" s="301">
        <v>3495</v>
      </c>
      <c r="D18" s="301">
        <v>349.5</v>
      </c>
      <c r="E18" s="300" t="s">
        <v>318</v>
      </c>
      <c r="F18" s="302">
        <v>0.1</v>
      </c>
      <c r="G18" s="300"/>
      <c r="H18" s="300" t="s">
        <v>305</v>
      </c>
      <c r="I18" s="9">
        <v>349.5</v>
      </c>
    </row>
    <row r="19" spans="1:9" ht="15.6" x14ac:dyDescent="0.3">
      <c r="A19" s="306">
        <v>45597</v>
      </c>
      <c r="B19" s="307" t="s">
        <v>321</v>
      </c>
      <c r="C19" s="301">
        <v>3495</v>
      </c>
      <c r="D19" s="301">
        <v>349.5</v>
      </c>
      <c r="E19" s="300" t="s">
        <v>318</v>
      </c>
      <c r="F19" s="302">
        <v>0.1</v>
      </c>
      <c r="G19" s="300"/>
      <c r="H19" s="300" t="s">
        <v>305</v>
      </c>
      <c r="I19" s="9">
        <v>349.5</v>
      </c>
    </row>
    <row r="20" spans="1:9" ht="15.6" x14ac:dyDescent="0.3">
      <c r="A20" s="306">
        <v>45597</v>
      </c>
      <c r="B20" s="307" t="s">
        <v>322</v>
      </c>
      <c r="C20" s="301">
        <v>6900</v>
      </c>
      <c r="D20" s="301">
        <v>690</v>
      </c>
      <c r="E20" s="300" t="s">
        <v>318</v>
      </c>
      <c r="F20" s="302">
        <v>0.1</v>
      </c>
      <c r="G20" s="300"/>
      <c r="H20" s="300" t="s">
        <v>305</v>
      </c>
      <c r="I20" s="9">
        <v>690</v>
      </c>
    </row>
    <row r="21" spans="1:9" ht="15" thickBot="1" x14ac:dyDescent="0.35">
      <c r="A21" s="15" t="s">
        <v>341</v>
      </c>
      <c r="B21" s="15" t="s">
        <v>342</v>
      </c>
      <c r="C21" s="15" t="s">
        <v>343</v>
      </c>
      <c r="D21" s="15" t="s">
        <v>344</v>
      </c>
      <c r="E21" s="15" t="s">
        <v>312</v>
      </c>
      <c r="F21" s="327">
        <v>0.1</v>
      </c>
      <c r="G21" s="336">
        <v>609</v>
      </c>
      <c r="H21" s="15" t="s">
        <v>305</v>
      </c>
      <c r="I21" s="9">
        <v>609</v>
      </c>
    </row>
    <row r="22" spans="1:9" ht="18" thickBot="1" x14ac:dyDescent="0.35">
      <c r="A22" s="337">
        <v>45741</v>
      </c>
      <c r="B22" s="338" t="s">
        <v>354</v>
      </c>
      <c r="C22" s="339">
        <v>3495</v>
      </c>
      <c r="D22" s="339">
        <v>349.5</v>
      </c>
      <c r="E22" s="340" t="s">
        <v>312</v>
      </c>
      <c r="F22" s="341">
        <v>0.1</v>
      </c>
      <c r="G22" s="342"/>
      <c r="H22" s="343">
        <v>174.75</v>
      </c>
      <c r="I22" s="10">
        <f>H22</f>
        <v>174.75</v>
      </c>
    </row>
    <row r="23" spans="1:9" ht="18" thickBot="1" x14ac:dyDescent="0.35">
      <c r="A23" s="344">
        <v>45750</v>
      </c>
      <c r="B23" s="345" t="s">
        <v>355</v>
      </c>
      <c r="C23" s="346">
        <v>11500</v>
      </c>
      <c r="D23" s="346">
        <v>1150</v>
      </c>
      <c r="E23" s="347" t="s">
        <v>356</v>
      </c>
      <c r="F23" s="348">
        <v>0.1</v>
      </c>
      <c r="G23" s="342"/>
      <c r="H23" s="349">
        <v>1150</v>
      </c>
    </row>
    <row r="24" spans="1:9" ht="18" thickBot="1" x14ac:dyDescent="0.35">
      <c r="A24" s="344">
        <v>45750</v>
      </c>
      <c r="B24" s="345" t="s">
        <v>357</v>
      </c>
      <c r="C24" s="346">
        <v>11500</v>
      </c>
      <c r="D24" s="346">
        <v>1150</v>
      </c>
      <c r="E24" s="347" t="s">
        <v>312</v>
      </c>
      <c r="F24" s="348">
        <v>0.1</v>
      </c>
      <c r="G24" s="342"/>
      <c r="H24" s="349">
        <v>575</v>
      </c>
    </row>
    <row r="25" spans="1:9" ht="18" thickBot="1" x14ac:dyDescent="0.35">
      <c r="A25" s="350">
        <v>45753</v>
      </c>
      <c r="B25" s="351" t="s">
        <v>358</v>
      </c>
      <c r="C25" s="346">
        <v>5000</v>
      </c>
      <c r="D25" s="346">
        <v>500</v>
      </c>
      <c r="E25" s="347" t="s">
        <v>312</v>
      </c>
      <c r="F25" s="348">
        <v>0.1</v>
      </c>
      <c r="G25" s="342"/>
      <c r="H25" s="349">
        <v>250</v>
      </c>
    </row>
    <row r="26" spans="1:9" ht="18" thickBot="1" x14ac:dyDescent="0.35">
      <c r="A26" s="344">
        <v>45779</v>
      </c>
      <c r="B26" s="352" t="s">
        <v>359</v>
      </c>
      <c r="C26" s="346">
        <v>12000</v>
      </c>
      <c r="D26" s="346">
        <v>1200</v>
      </c>
      <c r="E26" s="347" t="s">
        <v>360</v>
      </c>
      <c r="F26" s="348">
        <v>0.1</v>
      </c>
      <c r="G26" s="342"/>
      <c r="H26" s="349">
        <v>600</v>
      </c>
    </row>
    <row r="27" spans="1:9" ht="18" thickBot="1" x14ac:dyDescent="0.35">
      <c r="A27" s="344">
        <v>45768</v>
      </c>
      <c r="B27" s="345" t="s">
        <v>361</v>
      </c>
      <c r="C27" s="346">
        <v>12250</v>
      </c>
      <c r="D27" s="346">
        <v>1225</v>
      </c>
      <c r="E27" s="347" t="s">
        <v>362</v>
      </c>
      <c r="F27" s="348">
        <v>0.1</v>
      </c>
      <c r="G27" s="342"/>
      <c r="H27" s="349">
        <v>400</v>
      </c>
    </row>
    <row r="32" spans="1:9" x14ac:dyDescent="0.3">
      <c r="E32" s="10">
        <f>D27*0.1</f>
        <v>122.5</v>
      </c>
      <c r="I32" s="317">
        <f>SUM(I2:I22)</f>
        <v>12970.25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B679-1D42-47DB-A55A-F2458AEEBF91}">
  <sheetPr>
    <tabColor rgb="FF92D050"/>
  </sheetPr>
  <dimension ref="A1:G27"/>
  <sheetViews>
    <sheetView workbookViewId="0">
      <selection activeCell="E10" sqref="E10"/>
    </sheetView>
  </sheetViews>
  <sheetFormatPr defaultRowHeight="14.4" x14ac:dyDescent="0.3"/>
  <cols>
    <col min="1" max="1" width="14.109375" bestFit="1" customWidth="1"/>
    <col min="2" max="2" width="11.6640625" bestFit="1" customWidth="1"/>
    <col min="3" max="3" width="11.33203125" bestFit="1" customWidth="1"/>
    <col min="4" max="4" width="10.33203125" bestFit="1" customWidth="1"/>
    <col min="5" max="5" width="14.6640625" bestFit="1" customWidth="1"/>
  </cols>
  <sheetData>
    <row r="1" spans="1:7" x14ac:dyDescent="0.3">
      <c r="A1" t="s">
        <v>134</v>
      </c>
      <c r="B1" t="s">
        <v>351</v>
      </c>
      <c r="C1" t="s">
        <v>348</v>
      </c>
      <c r="D1" t="s">
        <v>349</v>
      </c>
      <c r="E1" t="s">
        <v>350</v>
      </c>
    </row>
    <row r="2" spans="1:7" x14ac:dyDescent="0.3">
      <c r="A2" t="s">
        <v>263</v>
      </c>
      <c r="B2" s="9">
        <v>4.9864309221447911E-4</v>
      </c>
      <c r="C2" s="9">
        <v>0</v>
      </c>
      <c r="D2" s="9">
        <v>0</v>
      </c>
      <c r="E2" s="9">
        <f>SUM(B2:D2)</f>
        <v>4.9864309221447911E-4</v>
      </c>
    </row>
    <row r="3" spans="1:7" x14ac:dyDescent="0.3">
      <c r="A3" t="s">
        <v>264</v>
      </c>
      <c r="B3" s="9">
        <v>346.74543090785698</v>
      </c>
      <c r="C3" s="9">
        <f>'22150 &amp; 23150 - Scott Tiernan'!E61</f>
        <v>21.124205640184329</v>
      </c>
      <c r="D3" s="9"/>
      <c r="E3" s="9">
        <f>SUM(B3:D3)</f>
        <v>367.86963654804129</v>
      </c>
      <c r="G3" s="294"/>
    </row>
    <row r="4" spans="1:7" x14ac:dyDescent="0.3">
      <c r="A4" t="s">
        <v>421</v>
      </c>
      <c r="B4" s="9">
        <v>861.57435609869287</v>
      </c>
      <c r="C4" s="9">
        <f>'23400 - CCJ True Loan (2)'!E18</f>
        <v>426.31217562246127</v>
      </c>
      <c r="D4" s="9">
        <f>-'23400 - CCJ True Loan (2)'!E17-'23400 - CCJ True Loan (2)'!E16</f>
        <v>-861.57435609869276</v>
      </c>
      <c r="E4" s="9">
        <f t="shared" ref="E4:E7" si="0">SUM(B4:D4)</f>
        <v>426.31217562246138</v>
      </c>
    </row>
    <row r="5" spans="1:7" x14ac:dyDescent="0.3">
      <c r="A5" t="s">
        <v>453</v>
      </c>
      <c r="B5">
        <v>2913.5176435017961</v>
      </c>
      <c r="C5" s="11">
        <v>0</v>
      </c>
      <c r="D5" s="11">
        <f>-'23350 - CCJ True Loan'!E17</f>
        <v>-2913.5176435017961</v>
      </c>
      <c r="E5" s="9">
        <f>SUM(B5:D5)</f>
        <v>0</v>
      </c>
    </row>
    <row r="6" spans="1:7" x14ac:dyDescent="0.3">
      <c r="B6">
        <v>0</v>
      </c>
      <c r="E6" s="9">
        <f t="shared" si="0"/>
        <v>0</v>
      </c>
    </row>
    <row r="7" spans="1:7" x14ac:dyDescent="0.3">
      <c r="B7">
        <v>0</v>
      </c>
      <c r="E7" s="9">
        <f t="shared" si="0"/>
        <v>0</v>
      </c>
    </row>
    <row r="8" spans="1:7" x14ac:dyDescent="0.3">
      <c r="A8" t="s">
        <v>7</v>
      </c>
      <c r="B8" s="259">
        <f>SUM(B2:B7)</f>
        <v>4121.8379291514384</v>
      </c>
      <c r="E8" s="259">
        <f>SUM(E2:E7)</f>
        <v>794.18231081359488</v>
      </c>
    </row>
    <row r="9" spans="1:7" x14ac:dyDescent="0.3">
      <c r="A9" t="s">
        <v>140</v>
      </c>
      <c r="B9" s="9">
        <v>4121.84</v>
      </c>
      <c r="E9" s="9">
        <v>794.17</v>
      </c>
    </row>
    <row r="10" spans="1:7" ht="15" thickBot="1" x14ac:dyDescent="0.35">
      <c r="A10" t="s">
        <v>80</v>
      </c>
      <c r="B10" s="210">
        <f>B8-B9</f>
        <v>-2.0708485617433325E-3</v>
      </c>
      <c r="E10" s="369">
        <f>E8-E9</f>
        <v>1.2310813594922365E-2</v>
      </c>
    </row>
    <row r="11" spans="1:7" ht="15" thickTop="1" x14ac:dyDescent="0.3"/>
    <row r="19" spans="1:2" x14ac:dyDescent="0.3">
      <c r="B19" s="295"/>
    </row>
    <row r="20" spans="1:2" x14ac:dyDescent="0.3">
      <c r="B20" s="10"/>
    </row>
    <row r="22" spans="1:2" x14ac:dyDescent="0.3">
      <c r="B22" s="10"/>
    </row>
    <row r="23" spans="1:2" x14ac:dyDescent="0.3">
      <c r="B23" s="10"/>
    </row>
    <row r="25" spans="1:2" x14ac:dyDescent="0.3">
      <c r="A25" s="10"/>
    </row>
    <row r="26" spans="1:2" x14ac:dyDescent="0.3">
      <c r="B26" s="10"/>
    </row>
    <row r="27" spans="1:2" x14ac:dyDescent="0.3">
      <c r="A27" s="11"/>
      <c r="B27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F136-832D-482E-8203-38A7FC8046E6}">
  <sheetPr>
    <tabColor rgb="FF92D050"/>
  </sheetPr>
  <dimension ref="A1:T41"/>
  <sheetViews>
    <sheetView topLeftCell="A7" workbookViewId="0">
      <selection activeCell="C31" sqref="C31"/>
    </sheetView>
  </sheetViews>
  <sheetFormatPr defaultRowHeight="14.4" x14ac:dyDescent="0.3"/>
  <cols>
    <col min="1" max="1" width="20.109375" bestFit="1" customWidth="1"/>
    <col min="2" max="2" width="10.5546875" bestFit="1" customWidth="1"/>
    <col min="3" max="3" width="10.44140625" bestFit="1" customWidth="1"/>
    <col min="4" max="4" width="10.5546875" bestFit="1" customWidth="1"/>
    <col min="5" max="5" width="20.109375" bestFit="1" customWidth="1"/>
    <col min="6" max="6" width="11.5546875" bestFit="1" customWidth="1"/>
    <col min="9" max="9" width="30.33203125" bestFit="1" customWidth="1"/>
    <col min="10" max="10" width="14.33203125" customWidth="1"/>
    <col min="11" max="11" width="10.5546875" bestFit="1" customWidth="1"/>
    <col min="13" max="13" width="9.5546875" bestFit="1" customWidth="1"/>
    <col min="20" max="20" width="10.33203125" bestFit="1" customWidth="1"/>
  </cols>
  <sheetData>
    <row r="1" spans="1:20" ht="18" x14ac:dyDescent="0.35">
      <c r="A1" s="48" t="s">
        <v>28</v>
      </c>
      <c r="B1" s="14"/>
      <c r="E1" s="48"/>
      <c r="F1" s="14"/>
    </row>
    <row r="2" spans="1:20" x14ac:dyDescent="0.3">
      <c r="A2" t="s">
        <v>29</v>
      </c>
      <c r="B2" s="14">
        <v>46007</v>
      </c>
      <c r="F2" s="14"/>
    </row>
    <row r="3" spans="1:20" x14ac:dyDescent="0.3">
      <c r="A3" t="s">
        <v>30</v>
      </c>
      <c r="B3" s="14">
        <v>46022</v>
      </c>
      <c r="C3">
        <v>0</v>
      </c>
      <c r="F3" s="14"/>
      <c r="P3">
        <f>5000+567.36+951.3+500</f>
        <v>7018.66</v>
      </c>
    </row>
    <row r="4" spans="1:20" x14ac:dyDescent="0.3">
      <c r="B4" s="11"/>
      <c r="F4" s="11"/>
      <c r="T4" s="9"/>
    </row>
    <row r="5" spans="1:20" x14ac:dyDescent="0.3">
      <c r="A5" t="s">
        <v>31</v>
      </c>
      <c r="B5" s="211">
        <f>NETWORKDAYS(B2+2,B3,0)</f>
        <v>10</v>
      </c>
      <c r="F5" s="211"/>
      <c r="I5" s="439" t="s">
        <v>280</v>
      </c>
      <c r="J5" s="439"/>
      <c r="T5" s="9"/>
    </row>
    <row r="6" spans="1:20" x14ac:dyDescent="0.3">
      <c r="A6" t="s">
        <v>32</v>
      </c>
      <c r="B6" s="212">
        <v>0</v>
      </c>
      <c r="F6" s="9"/>
      <c r="I6" t="s">
        <v>66</v>
      </c>
      <c r="J6" t="s">
        <v>281</v>
      </c>
    </row>
    <row r="7" spans="1:20" x14ac:dyDescent="0.3">
      <c r="A7" t="s">
        <v>33</v>
      </c>
      <c r="B7" s="211">
        <v>10</v>
      </c>
      <c r="F7" s="211"/>
      <c r="I7" t="s">
        <v>299</v>
      </c>
      <c r="J7" s="9">
        <v>5562.5</v>
      </c>
      <c r="K7">
        <f>2500</f>
        <v>2500</v>
      </c>
      <c r="M7" s="11">
        <f>J7-5000</f>
        <v>562.5</v>
      </c>
      <c r="N7" s="11"/>
    </row>
    <row r="8" spans="1:20" x14ac:dyDescent="0.3">
      <c r="A8" s="13" t="s">
        <v>34</v>
      </c>
      <c r="B8" s="11">
        <f>B6/B7</f>
        <v>0</v>
      </c>
      <c r="E8" s="13"/>
      <c r="F8" s="11"/>
      <c r="I8" t="s">
        <v>300</v>
      </c>
      <c r="J8" s="9">
        <v>5382.5</v>
      </c>
      <c r="K8">
        <f>K7</f>
        <v>2500</v>
      </c>
      <c r="M8" s="11">
        <f t="shared" ref="M8:M12" si="0">J8-5000</f>
        <v>382.5</v>
      </c>
      <c r="N8" s="11"/>
    </row>
    <row r="9" spans="1:20" x14ac:dyDescent="0.3">
      <c r="A9" s="49" t="s">
        <v>141</v>
      </c>
      <c r="B9" s="50">
        <f>B8*B5</f>
        <v>0</v>
      </c>
      <c r="E9" s="49"/>
      <c r="F9" s="50"/>
      <c r="I9" t="s">
        <v>301</v>
      </c>
      <c r="J9" s="9">
        <v>5382.5</v>
      </c>
      <c r="K9">
        <f t="shared" ref="K9:K12" si="1">K8</f>
        <v>2500</v>
      </c>
      <c r="M9" s="11">
        <f t="shared" si="0"/>
        <v>382.5</v>
      </c>
    </row>
    <row r="10" spans="1:20" x14ac:dyDescent="0.3">
      <c r="A10" s="49"/>
      <c r="B10" s="50"/>
      <c r="E10" s="49"/>
      <c r="F10" s="50"/>
      <c r="I10" t="s">
        <v>302</v>
      </c>
      <c r="J10" s="9">
        <v>5382.5</v>
      </c>
      <c r="K10">
        <f t="shared" si="1"/>
        <v>2500</v>
      </c>
      <c r="M10" s="11">
        <f t="shared" si="0"/>
        <v>382.5</v>
      </c>
    </row>
    <row r="11" spans="1:20" x14ac:dyDescent="0.3">
      <c r="A11" t="s">
        <v>142</v>
      </c>
      <c r="B11" s="212">
        <v>0</v>
      </c>
      <c r="C11" t="s">
        <v>265</v>
      </c>
      <c r="F11" s="19"/>
      <c r="I11" t="s">
        <v>298</v>
      </c>
      <c r="J11" s="9">
        <v>5267.76</v>
      </c>
      <c r="K11">
        <f t="shared" si="1"/>
        <v>2500</v>
      </c>
      <c r="M11" s="11">
        <f t="shared" si="0"/>
        <v>267.76000000000022</v>
      </c>
    </row>
    <row r="12" spans="1:20" x14ac:dyDescent="0.3">
      <c r="A12" s="13" t="s">
        <v>34</v>
      </c>
      <c r="B12" s="9">
        <f>B11/B7</f>
        <v>0</v>
      </c>
      <c r="E12" s="13"/>
      <c r="F12" s="9"/>
      <c r="I12" t="s">
        <v>282</v>
      </c>
      <c r="J12" s="9">
        <v>5267.76</v>
      </c>
      <c r="K12">
        <f t="shared" si="1"/>
        <v>2500</v>
      </c>
      <c r="M12" s="11">
        <f t="shared" si="0"/>
        <v>267.76000000000022</v>
      </c>
    </row>
    <row r="13" spans="1:20" x14ac:dyDescent="0.3">
      <c r="A13" s="49" t="s">
        <v>143</v>
      </c>
      <c r="B13" s="50">
        <f>B5*B12</f>
        <v>0</v>
      </c>
      <c r="E13" s="49"/>
      <c r="F13" s="50"/>
      <c r="J13" s="9"/>
    </row>
    <row r="14" spans="1:20" x14ac:dyDescent="0.3">
      <c r="B14" s="50"/>
      <c r="F14" s="50"/>
      <c r="I14" t="s">
        <v>386</v>
      </c>
      <c r="J14" s="9">
        <v>-30000</v>
      </c>
      <c r="K14" s="9">
        <f>SUM(K7:K13)</f>
        <v>15000</v>
      </c>
      <c r="L14" s="9"/>
      <c r="M14" s="9"/>
    </row>
    <row r="15" spans="1:20" x14ac:dyDescent="0.3">
      <c r="A15" t="s">
        <v>144</v>
      </c>
      <c r="B15" s="212">
        <v>6602.33</v>
      </c>
      <c r="C15" s="11"/>
      <c r="D15" s="9"/>
      <c r="F15" s="9"/>
      <c r="I15" t="s">
        <v>400</v>
      </c>
      <c r="J15" s="9">
        <f>SUM(K15,M15)</f>
        <v>2691.25</v>
      </c>
      <c r="K15" s="9">
        <v>2500</v>
      </c>
      <c r="L15" s="9"/>
      <c r="M15" s="9">
        <v>191.25</v>
      </c>
    </row>
    <row r="16" spans="1:20" x14ac:dyDescent="0.3">
      <c r="A16" t="s">
        <v>33</v>
      </c>
      <c r="B16" s="211">
        <v>10</v>
      </c>
      <c r="D16" s="213"/>
      <c r="F16" s="211"/>
      <c r="I16" t="s">
        <v>422</v>
      </c>
      <c r="J16" s="9">
        <f>-J15</f>
        <v>-2691.25</v>
      </c>
      <c r="K16" s="9"/>
      <c r="L16" s="9"/>
      <c r="M16" s="9">
        <f>-M15</f>
        <v>-191.25</v>
      </c>
    </row>
    <row r="17" spans="1:13" x14ac:dyDescent="0.3">
      <c r="A17" s="13" t="s">
        <v>34</v>
      </c>
      <c r="B17" s="11">
        <f>B15/B16</f>
        <v>660.23299999999995</v>
      </c>
      <c r="D17" s="9"/>
      <c r="E17" s="13"/>
      <c r="F17" s="11"/>
      <c r="J17" s="9"/>
      <c r="K17" s="9"/>
      <c r="L17" s="9"/>
      <c r="M17" s="9"/>
    </row>
    <row r="18" spans="1:13" ht="16.2" x14ac:dyDescent="0.45">
      <c r="A18" s="49" t="s">
        <v>145</v>
      </c>
      <c r="B18" s="50">
        <f>B17*B5</f>
        <v>6602.33</v>
      </c>
      <c r="D18" s="214"/>
      <c r="E18" s="49"/>
      <c r="F18" s="50"/>
      <c r="I18" s="411"/>
      <c r="J18" s="9"/>
      <c r="K18" s="9"/>
      <c r="L18" s="9"/>
      <c r="M18" s="9"/>
    </row>
    <row r="19" spans="1:13" x14ac:dyDescent="0.3">
      <c r="A19" s="49"/>
      <c r="B19" s="50"/>
      <c r="E19" s="49"/>
      <c r="F19" s="50"/>
      <c r="J19" s="9"/>
      <c r="K19" s="9"/>
      <c r="L19" s="9"/>
      <c r="M19" s="9"/>
    </row>
    <row r="20" spans="1:13" x14ac:dyDescent="0.3">
      <c r="A20" s="49" t="s">
        <v>146</v>
      </c>
      <c r="B20" s="215">
        <v>0</v>
      </c>
      <c r="E20" s="49"/>
      <c r="F20" s="50"/>
      <c r="J20" s="9"/>
      <c r="K20" s="9"/>
      <c r="L20" s="9"/>
      <c r="M20" s="9"/>
    </row>
    <row r="21" spans="1:13" ht="15" thickBot="1" x14ac:dyDescent="0.35">
      <c r="J21" s="371">
        <f>SUM(J7:J20)</f>
        <v>2245.5200000000041</v>
      </c>
      <c r="L21" s="216" t="s">
        <v>385</v>
      </c>
      <c r="M21" s="11">
        <f>SUM(M7:M20)</f>
        <v>2245.5200000000004</v>
      </c>
    </row>
    <row r="22" spans="1:13" ht="15" thickTop="1" x14ac:dyDescent="0.3">
      <c r="A22" t="s">
        <v>147</v>
      </c>
      <c r="B22" s="11">
        <f>SUM(B9,B13,B18,B20)</f>
        <v>6602.33</v>
      </c>
      <c r="F22" s="11"/>
    </row>
    <row r="23" spans="1:13" x14ac:dyDescent="0.3">
      <c r="A23" t="s">
        <v>148</v>
      </c>
      <c r="B23" s="10"/>
      <c r="F23" s="10"/>
    </row>
    <row r="24" spans="1:13" x14ac:dyDescent="0.3">
      <c r="B24" s="10"/>
      <c r="F24" s="10"/>
    </row>
    <row r="25" spans="1:13" x14ac:dyDescent="0.3">
      <c r="A25" s="49" t="s">
        <v>149</v>
      </c>
      <c r="B25" s="11">
        <f>B9+B13+B18+B20+B23</f>
        <v>6602.33</v>
      </c>
      <c r="F25" s="10"/>
    </row>
    <row r="26" spans="1:13" x14ac:dyDescent="0.3">
      <c r="A26" t="s">
        <v>266</v>
      </c>
      <c r="B26" s="10">
        <v>1100</v>
      </c>
      <c r="C26" t="s">
        <v>401</v>
      </c>
    </row>
    <row r="27" spans="1:13" x14ac:dyDescent="0.3">
      <c r="A27" t="s">
        <v>266</v>
      </c>
      <c r="B27" s="10">
        <v>228.48</v>
      </c>
      <c r="C27" t="s">
        <v>402</v>
      </c>
      <c r="F27" s="10"/>
    </row>
    <row r="28" spans="1:13" x14ac:dyDescent="0.3">
      <c r="B28" s="10"/>
      <c r="F28" s="10"/>
    </row>
    <row r="29" spans="1:13" x14ac:dyDescent="0.3">
      <c r="B29" s="10"/>
      <c r="F29" s="10"/>
    </row>
    <row r="30" spans="1:13" s="270" customFormat="1" x14ac:dyDescent="0.3">
      <c r="D30" s="11"/>
      <c r="I30"/>
      <c r="J30"/>
      <c r="K30"/>
      <c r="L30"/>
      <c r="M30"/>
    </row>
    <row r="31" spans="1:13" x14ac:dyDescent="0.3">
      <c r="A31" s="216" t="s">
        <v>149</v>
      </c>
      <c r="B31" s="360">
        <f>SUM(B25:B30)</f>
        <v>7930.8099999999995</v>
      </c>
    </row>
    <row r="33" spans="1:13" x14ac:dyDescent="0.3">
      <c r="B33" s="9"/>
      <c r="I33" s="270"/>
      <c r="J33" s="270"/>
      <c r="K33" s="270"/>
      <c r="L33" s="270"/>
      <c r="M33" s="270"/>
    </row>
    <row r="34" spans="1:13" x14ac:dyDescent="0.3">
      <c r="A34" t="s">
        <v>150</v>
      </c>
      <c r="B34" s="9"/>
    </row>
    <row r="35" spans="1:13" x14ac:dyDescent="0.3">
      <c r="A35" t="s">
        <v>151</v>
      </c>
    </row>
    <row r="36" spans="1:13" x14ac:dyDescent="0.3">
      <c r="A36" t="s">
        <v>152</v>
      </c>
      <c r="B36" s="9"/>
    </row>
    <row r="39" spans="1:13" x14ac:dyDescent="0.3">
      <c r="B39" s="11"/>
    </row>
    <row r="41" spans="1:13" x14ac:dyDescent="0.3">
      <c r="B41" s="11"/>
    </row>
  </sheetData>
  <mergeCells count="1">
    <mergeCell ref="I5:J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A577-6BD1-442E-8E0A-E2CCF5EF4331}">
  <sheetPr>
    <tabColor rgb="FF92D050"/>
  </sheetPr>
  <dimension ref="A1:DP145"/>
  <sheetViews>
    <sheetView topLeftCell="A115" workbookViewId="0">
      <selection activeCell="C136" sqref="C136"/>
    </sheetView>
  </sheetViews>
  <sheetFormatPr defaultRowHeight="14.4" x14ac:dyDescent="0.3"/>
  <cols>
    <col min="1" max="1" width="9.6640625" bestFit="1" customWidth="1"/>
    <col min="2" max="2" width="10.5546875" bestFit="1" customWidth="1"/>
    <col min="3" max="3" width="38.6640625" bestFit="1" customWidth="1"/>
    <col min="4" max="4" width="25.5546875" bestFit="1" customWidth="1"/>
    <col min="5" max="5" width="16.33203125" style="9" bestFit="1" customWidth="1"/>
    <col min="6" max="6" width="23.5546875" style="9" bestFit="1" customWidth="1"/>
    <col min="7" max="7" width="14.33203125" bestFit="1" customWidth="1"/>
    <col min="8" max="8" width="24.88671875" bestFit="1" customWidth="1"/>
    <col min="9" max="9" width="13" hidden="1" customWidth="1"/>
    <col min="10" max="10" width="11.5546875" hidden="1" customWidth="1"/>
    <col min="11" max="12" width="10.44140625" hidden="1" customWidth="1"/>
    <col min="13" max="15" width="11.44140625" hidden="1" customWidth="1"/>
    <col min="16" max="16" width="11.5546875" hidden="1" customWidth="1"/>
    <col min="17" max="17" width="11.44140625" hidden="1" customWidth="1"/>
    <col min="18" max="18" width="11.88671875" hidden="1" customWidth="1"/>
    <col min="19" max="23" width="11.44140625" hidden="1" customWidth="1"/>
    <col min="24" max="24" width="11.5546875" hidden="1" customWidth="1"/>
    <col min="25" max="25" width="11.44140625" hidden="1" customWidth="1"/>
    <col min="26" max="26" width="11.33203125" hidden="1" customWidth="1"/>
    <col min="27" max="27" width="11.5546875" hidden="1" customWidth="1"/>
    <col min="28" max="28" width="11.88671875" hidden="1" customWidth="1"/>
    <col min="29" max="29" width="11.5546875" hidden="1" customWidth="1"/>
    <col min="30" max="30" width="12.109375" hidden="1" customWidth="1"/>
    <col min="31" max="32" width="11.5546875" hidden="1" customWidth="1"/>
    <col min="33" max="33" width="11.6640625" bestFit="1" customWidth="1"/>
    <col min="34" max="35" width="11.5546875" bestFit="1" customWidth="1"/>
    <col min="36" max="36" width="11.88671875" bestFit="1" customWidth="1"/>
    <col min="37" max="46" width="11.5546875" customWidth="1"/>
    <col min="47" max="48" width="11.5546875" bestFit="1" customWidth="1"/>
    <col min="49" max="61" width="11.5546875" style="209" bestFit="1" customWidth="1"/>
    <col min="62" max="93" width="11.5546875" bestFit="1" customWidth="1"/>
    <col min="94" max="94" width="11.88671875" bestFit="1" customWidth="1"/>
    <col min="95" max="105" width="11.5546875" bestFit="1" customWidth="1"/>
    <col min="106" max="120" width="11.109375" bestFit="1" customWidth="1"/>
  </cols>
  <sheetData>
    <row r="1" spans="1:120" x14ac:dyDescent="0.3">
      <c r="F1" s="9" t="s">
        <v>183</v>
      </c>
      <c r="G1" s="11">
        <f>SUM(E4:E21)-SUM(I4:M21)</f>
        <v>101459.33333333333</v>
      </c>
    </row>
    <row r="3" spans="1:120" s="77" customFormat="1" x14ac:dyDescent="0.3">
      <c r="B3" s="77" t="s">
        <v>184</v>
      </c>
      <c r="C3" s="77" t="s">
        <v>185</v>
      </c>
      <c r="D3" s="77" t="s">
        <v>36</v>
      </c>
      <c r="E3" s="242" t="s">
        <v>186</v>
      </c>
      <c r="F3" s="242" t="s">
        <v>187</v>
      </c>
      <c r="G3" s="77" t="s">
        <v>188</v>
      </c>
      <c r="I3" s="243">
        <v>44439</v>
      </c>
      <c r="J3" s="243">
        <f t="shared" ref="J3:BU3" si="0">EOMONTH(I3,1)</f>
        <v>44469</v>
      </c>
      <c r="K3" s="243">
        <f t="shared" si="0"/>
        <v>44500</v>
      </c>
      <c r="L3" s="243">
        <f t="shared" si="0"/>
        <v>44530</v>
      </c>
      <c r="M3" s="243">
        <f t="shared" si="0"/>
        <v>44561</v>
      </c>
      <c r="N3" s="243">
        <f t="shared" si="0"/>
        <v>44592</v>
      </c>
      <c r="O3" s="243">
        <f t="shared" si="0"/>
        <v>44620</v>
      </c>
      <c r="P3" s="243">
        <f t="shared" si="0"/>
        <v>44651</v>
      </c>
      <c r="Q3" s="243">
        <f t="shared" si="0"/>
        <v>44681</v>
      </c>
      <c r="R3" s="243">
        <f t="shared" si="0"/>
        <v>44712</v>
      </c>
      <c r="S3" s="243">
        <f t="shared" si="0"/>
        <v>44742</v>
      </c>
      <c r="T3" s="243">
        <f t="shared" si="0"/>
        <v>44773</v>
      </c>
      <c r="U3" s="243">
        <f t="shared" si="0"/>
        <v>44804</v>
      </c>
      <c r="V3" s="243">
        <f t="shared" si="0"/>
        <v>44834</v>
      </c>
      <c r="W3" s="243">
        <f t="shared" si="0"/>
        <v>44865</v>
      </c>
      <c r="X3" s="243">
        <f t="shared" si="0"/>
        <v>44895</v>
      </c>
      <c r="Y3" s="243">
        <f t="shared" si="0"/>
        <v>44926</v>
      </c>
      <c r="Z3" s="243">
        <f t="shared" si="0"/>
        <v>44957</v>
      </c>
      <c r="AA3" s="243">
        <f t="shared" si="0"/>
        <v>44985</v>
      </c>
      <c r="AB3" s="243">
        <f t="shared" si="0"/>
        <v>45016</v>
      </c>
      <c r="AC3" s="243">
        <f t="shared" si="0"/>
        <v>45046</v>
      </c>
      <c r="AD3" s="243">
        <f t="shared" si="0"/>
        <v>45077</v>
      </c>
      <c r="AE3" s="243">
        <f t="shared" si="0"/>
        <v>45107</v>
      </c>
      <c r="AF3" s="243">
        <f t="shared" si="0"/>
        <v>45138</v>
      </c>
      <c r="AG3" s="243">
        <f t="shared" si="0"/>
        <v>45169</v>
      </c>
      <c r="AH3" s="243">
        <f t="shared" si="0"/>
        <v>45199</v>
      </c>
      <c r="AI3" s="243">
        <f t="shared" si="0"/>
        <v>45230</v>
      </c>
      <c r="AJ3" s="243">
        <f t="shared" si="0"/>
        <v>45260</v>
      </c>
      <c r="AK3" s="243">
        <f t="shared" si="0"/>
        <v>45291</v>
      </c>
      <c r="AL3" s="243">
        <f t="shared" si="0"/>
        <v>45322</v>
      </c>
      <c r="AM3" s="243">
        <f t="shared" si="0"/>
        <v>45351</v>
      </c>
      <c r="AN3" s="243">
        <f t="shared" si="0"/>
        <v>45382</v>
      </c>
      <c r="AO3" s="243">
        <f t="shared" si="0"/>
        <v>45412</v>
      </c>
      <c r="AP3" s="243">
        <f t="shared" si="0"/>
        <v>45443</v>
      </c>
      <c r="AQ3" s="243">
        <f t="shared" si="0"/>
        <v>45473</v>
      </c>
      <c r="AR3" s="243">
        <f t="shared" si="0"/>
        <v>45504</v>
      </c>
      <c r="AS3" s="243">
        <f t="shared" si="0"/>
        <v>45535</v>
      </c>
      <c r="AT3" s="243">
        <f t="shared" si="0"/>
        <v>45565</v>
      </c>
      <c r="AU3" s="243">
        <f t="shared" si="0"/>
        <v>45596</v>
      </c>
      <c r="AV3" s="243">
        <f t="shared" si="0"/>
        <v>45626</v>
      </c>
      <c r="AW3" s="363">
        <f t="shared" si="0"/>
        <v>45657</v>
      </c>
      <c r="AX3" s="363">
        <f t="shared" si="0"/>
        <v>45688</v>
      </c>
      <c r="AY3" s="363">
        <f t="shared" si="0"/>
        <v>45716</v>
      </c>
      <c r="AZ3" s="363">
        <f t="shared" si="0"/>
        <v>45747</v>
      </c>
      <c r="BA3" s="363">
        <f t="shared" si="0"/>
        <v>45777</v>
      </c>
      <c r="BB3" s="363">
        <f t="shared" si="0"/>
        <v>45808</v>
      </c>
      <c r="BC3" s="363">
        <f t="shared" si="0"/>
        <v>45838</v>
      </c>
      <c r="BD3" s="363">
        <f t="shared" si="0"/>
        <v>45869</v>
      </c>
      <c r="BE3" s="363">
        <f t="shared" si="0"/>
        <v>45900</v>
      </c>
      <c r="BF3" s="363">
        <f t="shared" si="0"/>
        <v>45930</v>
      </c>
      <c r="BG3" s="363">
        <f t="shared" si="0"/>
        <v>45961</v>
      </c>
      <c r="BH3" s="363">
        <f t="shared" si="0"/>
        <v>45991</v>
      </c>
      <c r="BI3" s="363">
        <f t="shared" si="0"/>
        <v>46022</v>
      </c>
      <c r="BJ3" s="243">
        <f t="shared" si="0"/>
        <v>46053</v>
      </c>
      <c r="BK3" s="243">
        <f t="shared" si="0"/>
        <v>46081</v>
      </c>
      <c r="BL3" s="243">
        <f t="shared" si="0"/>
        <v>46112</v>
      </c>
      <c r="BM3" s="243">
        <f t="shared" si="0"/>
        <v>46142</v>
      </c>
      <c r="BN3" s="243">
        <f t="shared" si="0"/>
        <v>46173</v>
      </c>
      <c r="BO3" s="243">
        <f t="shared" si="0"/>
        <v>46203</v>
      </c>
      <c r="BP3" s="243">
        <f t="shared" si="0"/>
        <v>46234</v>
      </c>
      <c r="BQ3" s="243">
        <f t="shared" si="0"/>
        <v>46265</v>
      </c>
      <c r="BR3" s="243">
        <f t="shared" si="0"/>
        <v>46295</v>
      </c>
      <c r="BS3" s="243">
        <f t="shared" si="0"/>
        <v>46326</v>
      </c>
      <c r="BT3" s="243">
        <f t="shared" si="0"/>
        <v>46356</v>
      </c>
      <c r="BU3" s="243">
        <f t="shared" si="0"/>
        <v>46387</v>
      </c>
      <c r="BV3" s="243">
        <f t="shared" ref="BV3:DP3" si="1">EOMONTH(BU3,1)</f>
        <v>46418</v>
      </c>
      <c r="BW3" s="243">
        <f t="shared" si="1"/>
        <v>46446</v>
      </c>
      <c r="BX3" s="243">
        <f t="shared" si="1"/>
        <v>46477</v>
      </c>
      <c r="BY3" s="243">
        <f t="shared" si="1"/>
        <v>46507</v>
      </c>
      <c r="BZ3" s="243">
        <f t="shared" si="1"/>
        <v>46538</v>
      </c>
      <c r="CA3" s="243">
        <f t="shared" si="1"/>
        <v>46568</v>
      </c>
      <c r="CB3" s="243">
        <f t="shared" si="1"/>
        <v>46599</v>
      </c>
      <c r="CC3" s="243">
        <f t="shared" si="1"/>
        <v>46630</v>
      </c>
      <c r="CD3" s="243">
        <f t="shared" si="1"/>
        <v>46660</v>
      </c>
      <c r="CE3" s="243">
        <f t="shared" si="1"/>
        <v>46691</v>
      </c>
      <c r="CF3" s="243">
        <f t="shared" si="1"/>
        <v>46721</v>
      </c>
      <c r="CG3" s="243">
        <f t="shared" si="1"/>
        <v>46752</v>
      </c>
      <c r="CH3" s="243">
        <f t="shared" si="1"/>
        <v>46783</v>
      </c>
      <c r="CI3" s="243">
        <f t="shared" si="1"/>
        <v>46812</v>
      </c>
      <c r="CJ3" s="243">
        <f t="shared" si="1"/>
        <v>46843</v>
      </c>
      <c r="CK3" s="243">
        <f t="shared" si="1"/>
        <v>46873</v>
      </c>
      <c r="CL3" s="243">
        <f t="shared" si="1"/>
        <v>46904</v>
      </c>
      <c r="CM3" s="243">
        <f t="shared" si="1"/>
        <v>46934</v>
      </c>
      <c r="CN3" s="243">
        <f t="shared" si="1"/>
        <v>46965</v>
      </c>
      <c r="CO3" s="243">
        <f t="shared" si="1"/>
        <v>46996</v>
      </c>
      <c r="CP3" s="243">
        <f t="shared" si="1"/>
        <v>47026</v>
      </c>
      <c r="CQ3" s="243">
        <f t="shared" si="1"/>
        <v>47057</v>
      </c>
      <c r="CR3" s="243">
        <f t="shared" si="1"/>
        <v>47087</v>
      </c>
      <c r="CS3" s="243">
        <f t="shared" si="1"/>
        <v>47118</v>
      </c>
      <c r="CT3" s="243">
        <f t="shared" si="1"/>
        <v>47149</v>
      </c>
      <c r="CU3" s="243">
        <f t="shared" si="1"/>
        <v>47177</v>
      </c>
      <c r="CV3" s="243">
        <f t="shared" si="1"/>
        <v>47208</v>
      </c>
      <c r="CW3" s="243">
        <f t="shared" si="1"/>
        <v>47238</v>
      </c>
      <c r="CX3" s="243">
        <f t="shared" si="1"/>
        <v>47269</v>
      </c>
      <c r="CY3" s="243">
        <f t="shared" si="1"/>
        <v>47299</v>
      </c>
      <c r="CZ3" s="243">
        <f t="shared" si="1"/>
        <v>47330</v>
      </c>
      <c r="DA3" s="243">
        <f t="shared" si="1"/>
        <v>47361</v>
      </c>
      <c r="DB3" s="243">
        <f t="shared" si="1"/>
        <v>47391</v>
      </c>
      <c r="DC3" s="243">
        <f t="shared" si="1"/>
        <v>47422</v>
      </c>
      <c r="DD3" s="243">
        <f t="shared" si="1"/>
        <v>47452</v>
      </c>
      <c r="DE3" s="243">
        <f t="shared" si="1"/>
        <v>47483</v>
      </c>
      <c r="DF3" s="243">
        <f t="shared" si="1"/>
        <v>47514</v>
      </c>
      <c r="DG3" s="243">
        <f t="shared" si="1"/>
        <v>47542</v>
      </c>
      <c r="DH3" s="243">
        <f t="shared" si="1"/>
        <v>47573</v>
      </c>
      <c r="DI3" s="243">
        <f t="shared" si="1"/>
        <v>47603</v>
      </c>
      <c r="DJ3" s="243">
        <f t="shared" si="1"/>
        <v>47634</v>
      </c>
      <c r="DK3" s="243">
        <f t="shared" si="1"/>
        <v>47664</v>
      </c>
      <c r="DL3" s="243">
        <f t="shared" si="1"/>
        <v>47695</v>
      </c>
      <c r="DM3" s="243">
        <f t="shared" si="1"/>
        <v>47726</v>
      </c>
      <c r="DN3" s="243">
        <f t="shared" si="1"/>
        <v>47756</v>
      </c>
      <c r="DO3" s="243">
        <f t="shared" si="1"/>
        <v>47787</v>
      </c>
      <c r="DP3" s="243">
        <f t="shared" si="1"/>
        <v>47817</v>
      </c>
    </row>
    <row r="4" spans="1:120" x14ac:dyDescent="0.3">
      <c r="A4">
        <f t="shared" ref="A4:A37" si="2">A3+1</f>
        <v>1</v>
      </c>
      <c r="B4" s="14">
        <v>44421</v>
      </c>
      <c r="C4" t="s">
        <v>189</v>
      </c>
      <c r="D4" t="s">
        <v>117</v>
      </c>
      <c r="E4" s="9">
        <v>15000</v>
      </c>
      <c r="F4" s="9">
        <f t="shared" ref="F4:F11" si="3">E4/60</f>
        <v>250</v>
      </c>
      <c r="G4" s="14">
        <v>46233</v>
      </c>
      <c r="H4" s="11">
        <f t="shared" ref="H4:H67" si="4">E4-SUM(I4:DP4)</f>
        <v>0</v>
      </c>
      <c r="I4" s="11">
        <f t="shared" ref="I4:BP4" si="5">$F$4</f>
        <v>250</v>
      </c>
      <c r="J4" s="11">
        <f t="shared" si="5"/>
        <v>250</v>
      </c>
      <c r="K4" s="11">
        <f t="shared" si="5"/>
        <v>250</v>
      </c>
      <c r="L4" s="11">
        <f t="shared" si="5"/>
        <v>250</v>
      </c>
      <c r="M4" s="11">
        <f t="shared" si="5"/>
        <v>250</v>
      </c>
      <c r="N4" s="11">
        <f t="shared" si="5"/>
        <v>250</v>
      </c>
      <c r="O4" s="11">
        <f t="shared" si="5"/>
        <v>250</v>
      </c>
      <c r="P4" s="11">
        <f t="shared" si="5"/>
        <v>250</v>
      </c>
      <c r="Q4" s="11">
        <f t="shared" si="5"/>
        <v>250</v>
      </c>
      <c r="R4" s="11">
        <f t="shared" si="5"/>
        <v>250</v>
      </c>
      <c r="S4" s="11">
        <f t="shared" si="5"/>
        <v>250</v>
      </c>
      <c r="T4" s="11">
        <f t="shared" si="5"/>
        <v>250</v>
      </c>
      <c r="U4" s="11">
        <f t="shared" si="5"/>
        <v>250</v>
      </c>
      <c r="V4" s="11">
        <f t="shared" si="5"/>
        <v>250</v>
      </c>
      <c r="W4" s="11">
        <f t="shared" si="5"/>
        <v>250</v>
      </c>
      <c r="X4" s="11">
        <f t="shared" si="5"/>
        <v>250</v>
      </c>
      <c r="Y4" s="11">
        <f t="shared" si="5"/>
        <v>250</v>
      </c>
      <c r="Z4" s="11">
        <f t="shared" si="5"/>
        <v>250</v>
      </c>
      <c r="AA4" s="11">
        <f t="shared" si="5"/>
        <v>250</v>
      </c>
      <c r="AB4" s="11">
        <f t="shared" si="5"/>
        <v>250</v>
      </c>
      <c r="AC4" s="11">
        <f t="shared" si="5"/>
        <v>250</v>
      </c>
      <c r="AD4" s="11">
        <f t="shared" si="5"/>
        <v>250</v>
      </c>
      <c r="AE4" s="11">
        <f t="shared" si="5"/>
        <v>250</v>
      </c>
      <c r="AF4" s="11">
        <f t="shared" si="5"/>
        <v>250</v>
      </c>
      <c r="AG4" s="11">
        <f t="shared" si="5"/>
        <v>250</v>
      </c>
      <c r="AH4" s="11">
        <f t="shared" si="5"/>
        <v>250</v>
      </c>
      <c r="AI4" s="11">
        <f t="shared" si="5"/>
        <v>250</v>
      </c>
      <c r="AJ4" s="11">
        <f t="shared" si="5"/>
        <v>250</v>
      </c>
      <c r="AK4" s="11">
        <f t="shared" si="5"/>
        <v>250</v>
      </c>
      <c r="AL4" s="11">
        <f t="shared" si="5"/>
        <v>250</v>
      </c>
      <c r="AM4" s="11">
        <f t="shared" si="5"/>
        <v>250</v>
      </c>
      <c r="AN4" s="11">
        <f t="shared" si="5"/>
        <v>250</v>
      </c>
      <c r="AO4" s="11">
        <f t="shared" si="5"/>
        <v>250</v>
      </c>
      <c r="AP4" s="11">
        <f t="shared" si="5"/>
        <v>250</v>
      </c>
      <c r="AQ4" s="11">
        <f t="shared" si="5"/>
        <v>250</v>
      </c>
      <c r="AR4" s="11">
        <f t="shared" si="5"/>
        <v>250</v>
      </c>
      <c r="AS4" s="11">
        <f t="shared" si="5"/>
        <v>250</v>
      </c>
      <c r="AT4" s="11">
        <f t="shared" si="5"/>
        <v>250</v>
      </c>
      <c r="AU4" s="11">
        <f t="shared" si="5"/>
        <v>250</v>
      </c>
      <c r="AV4" s="11">
        <f t="shared" si="5"/>
        <v>250</v>
      </c>
      <c r="AW4" s="208">
        <f t="shared" si="5"/>
        <v>250</v>
      </c>
      <c r="AX4" s="208">
        <f t="shared" si="5"/>
        <v>250</v>
      </c>
      <c r="AY4" s="208">
        <f t="shared" si="5"/>
        <v>250</v>
      </c>
      <c r="AZ4" s="208">
        <f t="shared" si="5"/>
        <v>250</v>
      </c>
      <c r="BA4" s="208">
        <f t="shared" si="5"/>
        <v>250</v>
      </c>
      <c r="BB4" s="208">
        <f t="shared" si="5"/>
        <v>250</v>
      </c>
      <c r="BC4" s="208">
        <f t="shared" si="5"/>
        <v>250</v>
      </c>
      <c r="BD4" s="208">
        <f t="shared" si="5"/>
        <v>250</v>
      </c>
      <c r="BE4" s="208">
        <f t="shared" si="5"/>
        <v>250</v>
      </c>
      <c r="BF4" s="208">
        <f t="shared" si="5"/>
        <v>250</v>
      </c>
      <c r="BG4" s="208">
        <f t="shared" si="5"/>
        <v>250</v>
      </c>
      <c r="BH4" s="208">
        <f t="shared" si="5"/>
        <v>250</v>
      </c>
      <c r="BI4" s="208">
        <f t="shared" si="5"/>
        <v>250</v>
      </c>
      <c r="BJ4" s="11">
        <f t="shared" si="5"/>
        <v>250</v>
      </c>
      <c r="BK4" s="11">
        <f t="shared" si="5"/>
        <v>250</v>
      </c>
      <c r="BL4" s="11">
        <f t="shared" si="5"/>
        <v>250</v>
      </c>
      <c r="BM4" s="11">
        <f t="shared" si="5"/>
        <v>250</v>
      </c>
      <c r="BN4" s="11">
        <f t="shared" si="5"/>
        <v>250</v>
      </c>
      <c r="BO4" s="11">
        <f t="shared" si="5"/>
        <v>250</v>
      </c>
      <c r="BP4" s="11">
        <f t="shared" si="5"/>
        <v>250</v>
      </c>
      <c r="BQ4" s="11"/>
    </row>
    <row r="5" spans="1:120" x14ac:dyDescent="0.3">
      <c r="A5">
        <f t="shared" si="2"/>
        <v>2</v>
      </c>
      <c r="B5" s="14">
        <v>44440</v>
      </c>
      <c r="C5" t="s">
        <v>190</v>
      </c>
      <c r="D5" t="s">
        <v>117</v>
      </c>
      <c r="E5" s="9">
        <v>5000</v>
      </c>
      <c r="F5" s="9">
        <f t="shared" si="3"/>
        <v>83.333333333333329</v>
      </c>
      <c r="G5" s="14">
        <v>46265</v>
      </c>
      <c r="H5" s="11">
        <f t="shared" si="4"/>
        <v>0</v>
      </c>
      <c r="I5" s="11"/>
      <c r="J5" s="11">
        <f t="shared" ref="J5:BQ5" si="6">$F$5</f>
        <v>83.333333333333329</v>
      </c>
      <c r="K5" s="11">
        <f t="shared" si="6"/>
        <v>83.333333333333329</v>
      </c>
      <c r="L5" s="11">
        <f t="shared" si="6"/>
        <v>83.333333333333329</v>
      </c>
      <c r="M5" s="11">
        <f t="shared" si="6"/>
        <v>83.333333333333329</v>
      </c>
      <c r="N5" s="11">
        <f t="shared" si="6"/>
        <v>83.333333333333329</v>
      </c>
      <c r="O5" s="11">
        <f t="shared" si="6"/>
        <v>83.333333333333329</v>
      </c>
      <c r="P5" s="11">
        <f t="shared" si="6"/>
        <v>83.333333333333329</v>
      </c>
      <c r="Q5" s="11">
        <f t="shared" si="6"/>
        <v>83.333333333333329</v>
      </c>
      <c r="R5" s="11">
        <f t="shared" si="6"/>
        <v>83.333333333333329</v>
      </c>
      <c r="S5" s="11">
        <f t="shared" si="6"/>
        <v>83.333333333333329</v>
      </c>
      <c r="T5" s="11">
        <f t="shared" si="6"/>
        <v>83.333333333333329</v>
      </c>
      <c r="U5" s="11">
        <f t="shared" si="6"/>
        <v>83.333333333333329</v>
      </c>
      <c r="V5" s="11">
        <f t="shared" si="6"/>
        <v>83.333333333333329</v>
      </c>
      <c r="W5" s="11">
        <f t="shared" si="6"/>
        <v>83.333333333333329</v>
      </c>
      <c r="X5" s="11">
        <f t="shared" si="6"/>
        <v>83.333333333333329</v>
      </c>
      <c r="Y5" s="11">
        <f t="shared" si="6"/>
        <v>83.333333333333329</v>
      </c>
      <c r="Z5" s="11">
        <f t="shared" si="6"/>
        <v>83.333333333333329</v>
      </c>
      <c r="AA5" s="11">
        <f t="shared" si="6"/>
        <v>83.333333333333329</v>
      </c>
      <c r="AB5" s="11">
        <f t="shared" si="6"/>
        <v>83.333333333333329</v>
      </c>
      <c r="AC5" s="11">
        <f t="shared" si="6"/>
        <v>83.333333333333329</v>
      </c>
      <c r="AD5" s="11">
        <f t="shared" si="6"/>
        <v>83.333333333333329</v>
      </c>
      <c r="AE5" s="11">
        <f t="shared" si="6"/>
        <v>83.333333333333329</v>
      </c>
      <c r="AF5" s="11">
        <f t="shared" si="6"/>
        <v>83.333333333333329</v>
      </c>
      <c r="AG5" s="11">
        <f t="shared" si="6"/>
        <v>83.333333333333329</v>
      </c>
      <c r="AH5" s="11">
        <f t="shared" si="6"/>
        <v>83.333333333333329</v>
      </c>
      <c r="AI5" s="11">
        <f t="shared" si="6"/>
        <v>83.333333333333329</v>
      </c>
      <c r="AJ5" s="11">
        <f t="shared" si="6"/>
        <v>83.333333333333329</v>
      </c>
      <c r="AK5" s="11">
        <f t="shared" si="6"/>
        <v>83.333333333333329</v>
      </c>
      <c r="AL5" s="11">
        <f t="shared" si="6"/>
        <v>83.333333333333329</v>
      </c>
      <c r="AM5" s="11">
        <f t="shared" si="6"/>
        <v>83.333333333333329</v>
      </c>
      <c r="AN5" s="11">
        <f t="shared" si="6"/>
        <v>83.333333333333329</v>
      </c>
      <c r="AO5" s="11">
        <f t="shared" si="6"/>
        <v>83.333333333333329</v>
      </c>
      <c r="AP5" s="11">
        <f t="shared" si="6"/>
        <v>83.333333333333329</v>
      </c>
      <c r="AQ5" s="11">
        <f t="shared" si="6"/>
        <v>83.333333333333329</v>
      </c>
      <c r="AR5" s="11">
        <f t="shared" si="6"/>
        <v>83.333333333333329</v>
      </c>
      <c r="AS5" s="11">
        <f t="shared" si="6"/>
        <v>83.333333333333329</v>
      </c>
      <c r="AT5" s="11">
        <f t="shared" si="6"/>
        <v>83.333333333333329</v>
      </c>
      <c r="AU5" s="11">
        <f t="shared" si="6"/>
        <v>83.333333333333329</v>
      </c>
      <c r="AV5" s="11">
        <f t="shared" si="6"/>
        <v>83.333333333333329</v>
      </c>
      <c r="AW5" s="208">
        <f t="shared" si="6"/>
        <v>83.333333333333329</v>
      </c>
      <c r="AX5" s="208">
        <f t="shared" si="6"/>
        <v>83.333333333333329</v>
      </c>
      <c r="AY5" s="208">
        <f t="shared" si="6"/>
        <v>83.333333333333329</v>
      </c>
      <c r="AZ5" s="208">
        <f t="shared" si="6"/>
        <v>83.333333333333329</v>
      </c>
      <c r="BA5" s="208">
        <f t="shared" si="6"/>
        <v>83.333333333333329</v>
      </c>
      <c r="BB5" s="208">
        <f t="shared" si="6"/>
        <v>83.333333333333329</v>
      </c>
      <c r="BC5" s="208">
        <f t="shared" si="6"/>
        <v>83.333333333333329</v>
      </c>
      <c r="BD5" s="208">
        <f t="shared" si="6"/>
        <v>83.333333333333329</v>
      </c>
      <c r="BE5" s="208">
        <f t="shared" si="6"/>
        <v>83.333333333333329</v>
      </c>
      <c r="BF5" s="208">
        <f t="shared" si="6"/>
        <v>83.333333333333329</v>
      </c>
      <c r="BG5" s="208">
        <f t="shared" si="6"/>
        <v>83.333333333333329</v>
      </c>
      <c r="BH5" s="208">
        <f t="shared" si="6"/>
        <v>83.333333333333329</v>
      </c>
      <c r="BI5" s="208">
        <f t="shared" si="6"/>
        <v>83.333333333333329</v>
      </c>
      <c r="BJ5" s="11">
        <f t="shared" si="6"/>
        <v>83.333333333333329</v>
      </c>
      <c r="BK5" s="11">
        <f t="shared" si="6"/>
        <v>83.333333333333329</v>
      </c>
      <c r="BL5" s="11">
        <f t="shared" si="6"/>
        <v>83.333333333333329</v>
      </c>
      <c r="BM5" s="11">
        <f t="shared" si="6"/>
        <v>83.333333333333329</v>
      </c>
      <c r="BN5" s="11">
        <f t="shared" si="6"/>
        <v>83.333333333333329</v>
      </c>
      <c r="BO5" s="11">
        <f t="shared" si="6"/>
        <v>83.333333333333329</v>
      </c>
      <c r="BP5" s="11">
        <f t="shared" si="6"/>
        <v>83.333333333333329</v>
      </c>
      <c r="BQ5" s="11">
        <f t="shared" si="6"/>
        <v>83.333333333333329</v>
      </c>
      <c r="BR5" s="11"/>
    </row>
    <row r="6" spans="1:120" x14ac:dyDescent="0.3">
      <c r="A6">
        <f t="shared" si="2"/>
        <v>3</v>
      </c>
      <c r="B6" s="14">
        <v>44440</v>
      </c>
      <c r="C6" t="s">
        <v>191</v>
      </c>
      <c r="D6" t="s">
        <v>117</v>
      </c>
      <c r="E6" s="9">
        <v>5000</v>
      </c>
      <c r="F6" s="9">
        <f t="shared" si="3"/>
        <v>83.333333333333329</v>
      </c>
      <c r="G6" s="14">
        <v>46265</v>
      </c>
      <c r="H6" s="11">
        <f t="shared" si="4"/>
        <v>0</v>
      </c>
      <c r="I6" s="11"/>
      <c r="J6" s="11">
        <f t="shared" ref="J6:BQ6" si="7">$F$6</f>
        <v>83.333333333333329</v>
      </c>
      <c r="K6" s="11">
        <f t="shared" si="7"/>
        <v>83.333333333333329</v>
      </c>
      <c r="L6" s="11">
        <f t="shared" si="7"/>
        <v>83.333333333333329</v>
      </c>
      <c r="M6" s="11">
        <f t="shared" si="7"/>
        <v>83.333333333333329</v>
      </c>
      <c r="N6" s="11">
        <f t="shared" si="7"/>
        <v>83.333333333333329</v>
      </c>
      <c r="O6" s="11">
        <f t="shared" si="7"/>
        <v>83.333333333333329</v>
      </c>
      <c r="P6" s="11">
        <f t="shared" si="7"/>
        <v>83.333333333333329</v>
      </c>
      <c r="Q6" s="11">
        <f t="shared" si="7"/>
        <v>83.333333333333329</v>
      </c>
      <c r="R6" s="11">
        <f t="shared" si="7"/>
        <v>83.333333333333329</v>
      </c>
      <c r="S6" s="11">
        <f t="shared" si="7"/>
        <v>83.333333333333329</v>
      </c>
      <c r="T6" s="11">
        <f t="shared" si="7"/>
        <v>83.333333333333329</v>
      </c>
      <c r="U6" s="11">
        <f t="shared" si="7"/>
        <v>83.333333333333329</v>
      </c>
      <c r="V6" s="11">
        <f t="shared" si="7"/>
        <v>83.333333333333329</v>
      </c>
      <c r="W6" s="11">
        <f t="shared" si="7"/>
        <v>83.333333333333329</v>
      </c>
      <c r="X6" s="11">
        <f t="shared" si="7"/>
        <v>83.333333333333329</v>
      </c>
      <c r="Y6" s="11">
        <f t="shared" si="7"/>
        <v>83.333333333333329</v>
      </c>
      <c r="Z6" s="11">
        <f t="shared" si="7"/>
        <v>83.333333333333329</v>
      </c>
      <c r="AA6" s="11">
        <f t="shared" si="7"/>
        <v>83.333333333333329</v>
      </c>
      <c r="AB6" s="11">
        <f t="shared" si="7"/>
        <v>83.333333333333329</v>
      </c>
      <c r="AC6" s="11">
        <f t="shared" si="7"/>
        <v>83.333333333333329</v>
      </c>
      <c r="AD6" s="11">
        <f t="shared" si="7"/>
        <v>83.333333333333329</v>
      </c>
      <c r="AE6" s="11">
        <f t="shared" si="7"/>
        <v>83.333333333333329</v>
      </c>
      <c r="AF6" s="11">
        <f t="shared" si="7"/>
        <v>83.333333333333329</v>
      </c>
      <c r="AG6" s="11">
        <f t="shared" si="7"/>
        <v>83.333333333333329</v>
      </c>
      <c r="AH6" s="11">
        <f t="shared" si="7"/>
        <v>83.333333333333329</v>
      </c>
      <c r="AI6" s="11">
        <f t="shared" si="7"/>
        <v>83.333333333333329</v>
      </c>
      <c r="AJ6" s="11">
        <f t="shared" si="7"/>
        <v>83.333333333333329</v>
      </c>
      <c r="AK6" s="11">
        <f t="shared" si="7"/>
        <v>83.333333333333329</v>
      </c>
      <c r="AL6" s="11">
        <f t="shared" si="7"/>
        <v>83.333333333333329</v>
      </c>
      <c r="AM6" s="11">
        <f t="shared" si="7"/>
        <v>83.333333333333329</v>
      </c>
      <c r="AN6" s="11">
        <f t="shared" si="7"/>
        <v>83.333333333333329</v>
      </c>
      <c r="AO6" s="11">
        <f t="shared" si="7"/>
        <v>83.333333333333329</v>
      </c>
      <c r="AP6" s="11">
        <f t="shared" si="7"/>
        <v>83.333333333333329</v>
      </c>
      <c r="AQ6" s="11">
        <f t="shared" si="7"/>
        <v>83.333333333333329</v>
      </c>
      <c r="AR6" s="11">
        <f t="shared" si="7"/>
        <v>83.333333333333329</v>
      </c>
      <c r="AS6" s="11">
        <f t="shared" si="7"/>
        <v>83.333333333333329</v>
      </c>
      <c r="AT6" s="11">
        <f t="shared" si="7"/>
        <v>83.333333333333329</v>
      </c>
      <c r="AU6" s="11">
        <f t="shared" si="7"/>
        <v>83.333333333333329</v>
      </c>
      <c r="AV6" s="11">
        <f t="shared" si="7"/>
        <v>83.333333333333329</v>
      </c>
      <c r="AW6" s="208">
        <f t="shared" si="7"/>
        <v>83.333333333333329</v>
      </c>
      <c r="AX6" s="208">
        <f t="shared" si="7"/>
        <v>83.333333333333329</v>
      </c>
      <c r="AY6" s="208">
        <f t="shared" si="7"/>
        <v>83.333333333333329</v>
      </c>
      <c r="AZ6" s="208">
        <f t="shared" si="7"/>
        <v>83.333333333333329</v>
      </c>
      <c r="BA6" s="208">
        <f t="shared" si="7"/>
        <v>83.333333333333329</v>
      </c>
      <c r="BB6" s="208">
        <f t="shared" si="7"/>
        <v>83.333333333333329</v>
      </c>
      <c r="BC6" s="208">
        <f t="shared" si="7"/>
        <v>83.333333333333329</v>
      </c>
      <c r="BD6" s="208">
        <f t="shared" si="7"/>
        <v>83.333333333333329</v>
      </c>
      <c r="BE6" s="208">
        <f t="shared" si="7"/>
        <v>83.333333333333329</v>
      </c>
      <c r="BF6" s="208">
        <f t="shared" si="7"/>
        <v>83.333333333333329</v>
      </c>
      <c r="BG6" s="208">
        <f t="shared" si="7"/>
        <v>83.333333333333329</v>
      </c>
      <c r="BH6" s="208">
        <f t="shared" si="7"/>
        <v>83.333333333333329</v>
      </c>
      <c r="BI6" s="208">
        <f t="shared" si="7"/>
        <v>83.333333333333329</v>
      </c>
      <c r="BJ6" s="11">
        <f t="shared" si="7"/>
        <v>83.333333333333329</v>
      </c>
      <c r="BK6" s="11">
        <f t="shared" si="7"/>
        <v>83.333333333333329</v>
      </c>
      <c r="BL6" s="11">
        <f t="shared" si="7"/>
        <v>83.333333333333329</v>
      </c>
      <c r="BM6" s="11">
        <f t="shared" si="7"/>
        <v>83.333333333333329</v>
      </c>
      <c r="BN6" s="11">
        <f t="shared" si="7"/>
        <v>83.333333333333329</v>
      </c>
      <c r="BO6" s="11">
        <f t="shared" si="7"/>
        <v>83.333333333333329</v>
      </c>
      <c r="BP6" s="11">
        <f t="shared" si="7"/>
        <v>83.333333333333329</v>
      </c>
      <c r="BQ6" s="11">
        <f t="shared" si="7"/>
        <v>83.333333333333329</v>
      </c>
      <c r="BR6" s="11"/>
    </row>
    <row r="7" spans="1:120" x14ac:dyDescent="0.3">
      <c r="A7">
        <f t="shared" si="2"/>
        <v>4</v>
      </c>
      <c r="B7" s="14">
        <v>44440</v>
      </c>
      <c r="C7" t="s">
        <v>192</v>
      </c>
      <c r="D7" t="s">
        <v>117</v>
      </c>
      <c r="E7" s="9">
        <v>5150</v>
      </c>
      <c r="F7" s="9">
        <f t="shared" si="3"/>
        <v>85.833333333333329</v>
      </c>
      <c r="G7" s="14">
        <v>46265</v>
      </c>
      <c r="H7" s="11">
        <f t="shared" si="4"/>
        <v>0</v>
      </c>
      <c r="I7" s="11"/>
      <c r="J7" s="11">
        <f t="shared" ref="J7:BQ7" si="8">$F$7</f>
        <v>85.833333333333329</v>
      </c>
      <c r="K7" s="11">
        <f t="shared" si="8"/>
        <v>85.833333333333329</v>
      </c>
      <c r="L7" s="11">
        <f t="shared" si="8"/>
        <v>85.833333333333329</v>
      </c>
      <c r="M7" s="11">
        <f t="shared" si="8"/>
        <v>85.833333333333329</v>
      </c>
      <c r="N7" s="11">
        <f t="shared" si="8"/>
        <v>85.833333333333329</v>
      </c>
      <c r="O7" s="11">
        <f t="shared" si="8"/>
        <v>85.833333333333329</v>
      </c>
      <c r="P7" s="11">
        <f t="shared" si="8"/>
        <v>85.833333333333329</v>
      </c>
      <c r="Q7" s="11">
        <f t="shared" si="8"/>
        <v>85.833333333333329</v>
      </c>
      <c r="R7" s="11">
        <f t="shared" si="8"/>
        <v>85.833333333333329</v>
      </c>
      <c r="S7" s="11">
        <f t="shared" si="8"/>
        <v>85.833333333333329</v>
      </c>
      <c r="T7" s="11">
        <f t="shared" si="8"/>
        <v>85.833333333333329</v>
      </c>
      <c r="U7" s="11">
        <f t="shared" si="8"/>
        <v>85.833333333333329</v>
      </c>
      <c r="V7" s="11">
        <f t="shared" si="8"/>
        <v>85.833333333333329</v>
      </c>
      <c r="W7" s="11">
        <f t="shared" si="8"/>
        <v>85.833333333333329</v>
      </c>
      <c r="X7" s="11">
        <f t="shared" si="8"/>
        <v>85.833333333333329</v>
      </c>
      <c r="Y7" s="11">
        <f t="shared" si="8"/>
        <v>85.833333333333329</v>
      </c>
      <c r="Z7" s="11">
        <f t="shared" si="8"/>
        <v>85.833333333333329</v>
      </c>
      <c r="AA7" s="11">
        <f t="shared" si="8"/>
        <v>85.833333333333329</v>
      </c>
      <c r="AB7" s="11">
        <f t="shared" si="8"/>
        <v>85.833333333333329</v>
      </c>
      <c r="AC7" s="11">
        <f t="shared" si="8"/>
        <v>85.833333333333329</v>
      </c>
      <c r="AD7" s="11">
        <f t="shared" si="8"/>
        <v>85.833333333333329</v>
      </c>
      <c r="AE7" s="11">
        <f t="shared" si="8"/>
        <v>85.833333333333329</v>
      </c>
      <c r="AF7" s="11">
        <f t="shared" si="8"/>
        <v>85.833333333333329</v>
      </c>
      <c r="AG7" s="11">
        <f t="shared" si="8"/>
        <v>85.833333333333329</v>
      </c>
      <c r="AH7" s="11">
        <f t="shared" si="8"/>
        <v>85.833333333333329</v>
      </c>
      <c r="AI7" s="11">
        <f t="shared" si="8"/>
        <v>85.833333333333329</v>
      </c>
      <c r="AJ7" s="11">
        <f t="shared" si="8"/>
        <v>85.833333333333329</v>
      </c>
      <c r="AK7" s="11">
        <f t="shared" si="8"/>
        <v>85.833333333333329</v>
      </c>
      <c r="AL7" s="11">
        <f t="shared" si="8"/>
        <v>85.833333333333329</v>
      </c>
      <c r="AM7" s="11">
        <f t="shared" si="8"/>
        <v>85.833333333333329</v>
      </c>
      <c r="AN7" s="11">
        <f t="shared" si="8"/>
        <v>85.833333333333329</v>
      </c>
      <c r="AO7" s="11">
        <f t="shared" si="8"/>
        <v>85.833333333333329</v>
      </c>
      <c r="AP7" s="11">
        <f t="shared" si="8"/>
        <v>85.833333333333329</v>
      </c>
      <c r="AQ7" s="11">
        <f t="shared" si="8"/>
        <v>85.833333333333329</v>
      </c>
      <c r="AR7" s="11">
        <f t="shared" si="8"/>
        <v>85.833333333333329</v>
      </c>
      <c r="AS7" s="11">
        <f t="shared" si="8"/>
        <v>85.833333333333329</v>
      </c>
      <c r="AT7" s="11">
        <f t="shared" si="8"/>
        <v>85.833333333333329</v>
      </c>
      <c r="AU7" s="11">
        <f t="shared" si="8"/>
        <v>85.833333333333329</v>
      </c>
      <c r="AV7" s="11">
        <f t="shared" si="8"/>
        <v>85.833333333333329</v>
      </c>
      <c r="AW7" s="208">
        <f t="shared" si="8"/>
        <v>85.833333333333329</v>
      </c>
      <c r="AX7" s="208">
        <f t="shared" si="8"/>
        <v>85.833333333333329</v>
      </c>
      <c r="AY7" s="208">
        <f t="shared" si="8"/>
        <v>85.833333333333329</v>
      </c>
      <c r="AZ7" s="208">
        <f t="shared" si="8"/>
        <v>85.833333333333329</v>
      </c>
      <c r="BA7" s="208">
        <f t="shared" si="8"/>
        <v>85.833333333333329</v>
      </c>
      <c r="BB7" s="208">
        <f t="shared" si="8"/>
        <v>85.833333333333329</v>
      </c>
      <c r="BC7" s="208">
        <f t="shared" si="8"/>
        <v>85.833333333333329</v>
      </c>
      <c r="BD7" s="208">
        <f t="shared" si="8"/>
        <v>85.833333333333329</v>
      </c>
      <c r="BE7" s="208">
        <f t="shared" si="8"/>
        <v>85.833333333333329</v>
      </c>
      <c r="BF7" s="208">
        <f t="shared" si="8"/>
        <v>85.833333333333329</v>
      </c>
      <c r="BG7" s="208">
        <f t="shared" si="8"/>
        <v>85.833333333333329</v>
      </c>
      <c r="BH7" s="208">
        <f t="shared" si="8"/>
        <v>85.833333333333329</v>
      </c>
      <c r="BI7" s="208">
        <f t="shared" si="8"/>
        <v>85.833333333333329</v>
      </c>
      <c r="BJ7" s="11">
        <f t="shared" si="8"/>
        <v>85.833333333333329</v>
      </c>
      <c r="BK7" s="11">
        <f t="shared" si="8"/>
        <v>85.833333333333329</v>
      </c>
      <c r="BL7" s="11">
        <f t="shared" si="8"/>
        <v>85.833333333333329</v>
      </c>
      <c r="BM7" s="11">
        <f t="shared" si="8"/>
        <v>85.833333333333329</v>
      </c>
      <c r="BN7" s="11">
        <f t="shared" si="8"/>
        <v>85.833333333333329</v>
      </c>
      <c r="BO7" s="11">
        <f t="shared" si="8"/>
        <v>85.833333333333329</v>
      </c>
      <c r="BP7" s="11">
        <f t="shared" si="8"/>
        <v>85.833333333333329</v>
      </c>
      <c r="BQ7" s="11">
        <f t="shared" si="8"/>
        <v>85.833333333333329</v>
      </c>
      <c r="BR7" s="11"/>
    </row>
    <row r="8" spans="1:120" x14ac:dyDescent="0.3">
      <c r="A8">
        <f t="shared" si="2"/>
        <v>5</v>
      </c>
      <c r="B8" s="14">
        <v>44441</v>
      </c>
      <c r="C8" t="s">
        <v>193</v>
      </c>
      <c r="D8" t="s">
        <v>117</v>
      </c>
      <c r="E8" s="9">
        <v>6000</v>
      </c>
      <c r="F8" s="9">
        <f t="shared" si="3"/>
        <v>100</v>
      </c>
      <c r="G8" s="14">
        <v>46265</v>
      </c>
      <c r="H8" s="11">
        <f t="shared" si="4"/>
        <v>0</v>
      </c>
      <c r="I8" s="11"/>
      <c r="J8" s="11">
        <f t="shared" ref="J8:BQ8" si="9">$F$8</f>
        <v>100</v>
      </c>
      <c r="K8" s="11">
        <f t="shared" si="9"/>
        <v>100</v>
      </c>
      <c r="L8" s="11">
        <f t="shared" si="9"/>
        <v>100</v>
      </c>
      <c r="M8" s="11">
        <f t="shared" si="9"/>
        <v>100</v>
      </c>
      <c r="N8" s="11">
        <f t="shared" si="9"/>
        <v>100</v>
      </c>
      <c r="O8" s="11">
        <f t="shared" si="9"/>
        <v>100</v>
      </c>
      <c r="P8" s="11">
        <f t="shared" si="9"/>
        <v>100</v>
      </c>
      <c r="Q8" s="11">
        <f t="shared" si="9"/>
        <v>100</v>
      </c>
      <c r="R8" s="11">
        <f t="shared" si="9"/>
        <v>100</v>
      </c>
      <c r="S8" s="11">
        <f t="shared" si="9"/>
        <v>100</v>
      </c>
      <c r="T8" s="11">
        <f t="shared" si="9"/>
        <v>100</v>
      </c>
      <c r="U8" s="11">
        <f t="shared" si="9"/>
        <v>100</v>
      </c>
      <c r="V8" s="11">
        <f t="shared" si="9"/>
        <v>100</v>
      </c>
      <c r="W8" s="11">
        <f t="shared" si="9"/>
        <v>100</v>
      </c>
      <c r="X8" s="11">
        <f t="shared" si="9"/>
        <v>100</v>
      </c>
      <c r="Y8" s="11">
        <f t="shared" si="9"/>
        <v>100</v>
      </c>
      <c r="Z8" s="11">
        <f t="shared" si="9"/>
        <v>100</v>
      </c>
      <c r="AA8" s="11">
        <f t="shared" si="9"/>
        <v>100</v>
      </c>
      <c r="AB8" s="11">
        <f t="shared" si="9"/>
        <v>100</v>
      </c>
      <c r="AC8" s="11">
        <f t="shared" si="9"/>
        <v>100</v>
      </c>
      <c r="AD8" s="11">
        <f t="shared" si="9"/>
        <v>100</v>
      </c>
      <c r="AE8" s="11">
        <f t="shared" si="9"/>
        <v>100</v>
      </c>
      <c r="AF8" s="11">
        <f t="shared" si="9"/>
        <v>100</v>
      </c>
      <c r="AG8" s="11">
        <f t="shared" si="9"/>
        <v>100</v>
      </c>
      <c r="AH8" s="11">
        <f t="shared" si="9"/>
        <v>100</v>
      </c>
      <c r="AI8" s="11">
        <f t="shared" si="9"/>
        <v>100</v>
      </c>
      <c r="AJ8" s="11">
        <f t="shared" si="9"/>
        <v>100</v>
      </c>
      <c r="AK8" s="11">
        <f t="shared" si="9"/>
        <v>100</v>
      </c>
      <c r="AL8" s="11">
        <f t="shared" si="9"/>
        <v>100</v>
      </c>
      <c r="AM8" s="11">
        <f t="shared" si="9"/>
        <v>100</v>
      </c>
      <c r="AN8" s="11">
        <f t="shared" si="9"/>
        <v>100</v>
      </c>
      <c r="AO8" s="11">
        <f t="shared" si="9"/>
        <v>100</v>
      </c>
      <c r="AP8" s="11">
        <f t="shared" si="9"/>
        <v>100</v>
      </c>
      <c r="AQ8" s="11">
        <f t="shared" si="9"/>
        <v>100</v>
      </c>
      <c r="AR8" s="11">
        <f t="shared" si="9"/>
        <v>100</v>
      </c>
      <c r="AS8" s="11">
        <f t="shared" si="9"/>
        <v>100</v>
      </c>
      <c r="AT8" s="11">
        <f t="shared" si="9"/>
        <v>100</v>
      </c>
      <c r="AU8" s="11">
        <f t="shared" si="9"/>
        <v>100</v>
      </c>
      <c r="AV8" s="11">
        <f t="shared" si="9"/>
        <v>100</v>
      </c>
      <c r="AW8" s="208">
        <f t="shared" si="9"/>
        <v>100</v>
      </c>
      <c r="AX8" s="208">
        <f t="shared" si="9"/>
        <v>100</v>
      </c>
      <c r="AY8" s="208">
        <f t="shared" si="9"/>
        <v>100</v>
      </c>
      <c r="AZ8" s="208">
        <f t="shared" si="9"/>
        <v>100</v>
      </c>
      <c r="BA8" s="208">
        <f t="shared" si="9"/>
        <v>100</v>
      </c>
      <c r="BB8" s="208">
        <f t="shared" si="9"/>
        <v>100</v>
      </c>
      <c r="BC8" s="208">
        <f t="shared" si="9"/>
        <v>100</v>
      </c>
      <c r="BD8" s="208">
        <f t="shared" si="9"/>
        <v>100</v>
      </c>
      <c r="BE8" s="208">
        <f t="shared" si="9"/>
        <v>100</v>
      </c>
      <c r="BF8" s="208">
        <f t="shared" si="9"/>
        <v>100</v>
      </c>
      <c r="BG8" s="208">
        <f t="shared" si="9"/>
        <v>100</v>
      </c>
      <c r="BH8" s="208">
        <f t="shared" si="9"/>
        <v>100</v>
      </c>
      <c r="BI8" s="208">
        <f t="shared" si="9"/>
        <v>100</v>
      </c>
      <c r="BJ8" s="11">
        <f t="shared" si="9"/>
        <v>100</v>
      </c>
      <c r="BK8" s="11">
        <f t="shared" si="9"/>
        <v>100</v>
      </c>
      <c r="BL8" s="11">
        <f t="shared" si="9"/>
        <v>100</v>
      </c>
      <c r="BM8" s="11">
        <f t="shared" si="9"/>
        <v>100</v>
      </c>
      <c r="BN8" s="11">
        <f t="shared" si="9"/>
        <v>100</v>
      </c>
      <c r="BO8" s="11">
        <f t="shared" si="9"/>
        <v>100</v>
      </c>
      <c r="BP8" s="11">
        <f t="shared" si="9"/>
        <v>100</v>
      </c>
      <c r="BQ8" s="11">
        <f t="shared" si="9"/>
        <v>100</v>
      </c>
      <c r="BR8" s="11"/>
    </row>
    <row r="9" spans="1:120" x14ac:dyDescent="0.3">
      <c r="A9">
        <f t="shared" si="2"/>
        <v>6</v>
      </c>
      <c r="B9" s="14">
        <v>44444</v>
      </c>
      <c r="C9" t="s">
        <v>194</v>
      </c>
      <c r="D9" t="s">
        <v>117</v>
      </c>
      <c r="E9" s="9">
        <v>5000</v>
      </c>
      <c r="F9" s="9">
        <f t="shared" si="3"/>
        <v>83.333333333333329</v>
      </c>
      <c r="G9" s="14">
        <v>46265</v>
      </c>
      <c r="H9" s="11">
        <f t="shared" si="4"/>
        <v>0</v>
      </c>
      <c r="J9" s="11">
        <f t="shared" ref="J9:BQ9" si="10">$F$9</f>
        <v>83.333333333333329</v>
      </c>
      <c r="K9" s="11">
        <f t="shared" si="10"/>
        <v>83.333333333333329</v>
      </c>
      <c r="L9" s="11">
        <f t="shared" si="10"/>
        <v>83.333333333333329</v>
      </c>
      <c r="M9" s="11">
        <f t="shared" si="10"/>
        <v>83.333333333333329</v>
      </c>
      <c r="N9" s="11">
        <f t="shared" si="10"/>
        <v>83.333333333333329</v>
      </c>
      <c r="O9" s="11">
        <f t="shared" si="10"/>
        <v>83.333333333333329</v>
      </c>
      <c r="P9" s="11">
        <f t="shared" si="10"/>
        <v>83.333333333333329</v>
      </c>
      <c r="Q9" s="11">
        <f t="shared" si="10"/>
        <v>83.333333333333329</v>
      </c>
      <c r="R9" s="11">
        <f t="shared" si="10"/>
        <v>83.333333333333329</v>
      </c>
      <c r="S9" s="11">
        <f t="shared" si="10"/>
        <v>83.333333333333329</v>
      </c>
      <c r="T9" s="11">
        <f t="shared" si="10"/>
        <v>83.333333333333329</v>
      </c>
      <c r="U9" s="11">
        <f t="shared" si="10"/>
        <v>83.333333333333329</v>
      </c>
      <c r="V9" s="11">
        <f t="shared" si="10"/>
        <v>83.333333333333329</v>
      </c>
      <c r="W9" s="11">
        <f t="shared" si="10"/>
        <v>83.333333333333329</v>
      </c>
      <c r="X9" s="11">
        <f t="shared" si="10"/>
        <v>83.333333333333329</v>
      </c>
      <c r="Y9" s="11">
        <f t="shared" si="10"/>
        <v>83.333333333333329</v>
      </c>
      <c r="Z9" s="11">
        <f t="shared" si="10"/>
        <v>83.333333333333329</v>
      </c>
      <c r="AA9" s="11">
        <f t="shared" si="10"/>
        <v>83.333333333333329</v>
      </c>
      <c r="AB9" s="11">
        <f t="shared" si="10"/>
        <v>83.333333333333329</v>
      </c>
      <c r="AC9" s="11">
        <f t="shared" si="10"/>
        <v>83.333333333333329</v>
      </c>
      <c r="AD9" s="11">
        <f t="shared" si="10"/>
        <v>83.333333333333329</v>
      </c>
      <c r="AE9" s="11">
        <f t="shared" si="10"/>
        <v>83.333333333333329</v>
      </c>
      <c r="AF9" s="11">
        <f t="shared" si="10"/>
        <v>83.333333333333329</v>
      </c>
      <c r="AG9" s="11">
        <f t="shared" si="10"/>
        <v>83.333333333333329</v>
      </c>
      <c r="AH9" s="11">
        <f t="shared" si="10"/>
        <v>83.333333333333329</v>
      </c>
      <c r="AI9" s="11">
        <f t="shared" si="10"/>
        <v>83.333333333333329</v>
      </c>
      <c r="AJ9" s="11">
        <f t="shared" si="10"/>
        <v>83.333333333333329</v>
      </c>
      <c r="AK9" s="11">
        <f t="shared" si="10"/>
        <v>83.333333333333329</v>
      </c>
      <c r="AL9" s="11">
        <f t="shared" si="10"/>
        <v>83.333333333333329</v>
      </c>
      <c r="AM9" s="11">
        <f t="shared" si="10"/>
        <v>83.333333333333329</v>
      </c>
      <c r="AN9" s="11">
        <f t="shared" si="10"/>
        <v>83.333333333333329</v>
      </c>
      <c r="AO9" s="11">
        <f t="shared" si="10"/>
        <v>83.333333333333329</v>
      </c>
      <c r="AP9" s="11">
        <f t="shared" si="10"/>
        <v>83.333333333333329</v>
      </c>
      <c r="AQ9" s="11">
        <f t="shared" si="10"/>
        <v>83.333333333333329</v>
      </c>
      <c r="AR9" s="11">
        <f t="shared" si="10"/>
        <v>83.333333333333329</v>
      </c>
      <c r="AS9" s="11">
        <f t="shared" si="10"/>
        <v>83.333333333333329</v>
      </c>
      <c r="AT9" s="11">
        <f t="shared" si="10"/>
        <v>83.333333333333329</v>
      </c>
      <c r="AU9" s="11">
        <f t="shared" si="10"/>
        <v>83.333333333333329</v>
      </c>
      <c r="AV9" s="11">
        <f t="shared" si="10"/>
        <v>83.333333333333329</v>
      </c>
      <c r="AW9" s="208">
        <f t="shared" si="10"/>
        <v>83.333333333333329</v>
      </c>
      <c r="AX9" s="208">
        <f t="shared" si="10"/>
        <v>83.333333333333329</v>
      </c>
      <c r="AY9" s="208">
        <f t="shared" si="10"/>
        <v>83.333333333333329</v>
      </c>
      <c r="AZ9" s="208">
        <f t="shared" si="10"/>
        <v>83.333333333333329</v>
      </c>
      <c r="BA9" s="208">
        <f t="shared" si="10"/>
        <v>83.333333333333329</v>
      </c>
      <c r="BB9" s="208">
        <f t="shared" si="10"/>
        <v>83.333333333333329</v>
      </c>
      <c r="BC9" s="208">
        <f t="shared" si="10"/>
        <v>83.333333333333329</v>
      </c>
      <c r="BD9" s="208">
        <f t="shared" si="10"/>
        <v>83.333333333333329</v>
      </c>
      <c r="BE9" s="208">
        <f t="shared" si="10"/>
        <v>83.333333333333329</v>
      </c>
      <c r="BF9" s="208">
        <f t="shared" si="10"/>
        <v>83.333333333333329</v>
      </c>
      <c r="BG9" s="208">
        <f t="shared" si="10"/>
        <v>83.333333333333329</v>
      </c>
      <c r="BH9" s="208">
        <f t="shared" si="10"/>
        <v>83.333333333333329</v>
      </c>
      <c r="BI9" s="208">
        <f t="shared" si="10"/>
        <v>83.333333333333329</v>
      </c>
      <c r="BJ9" s="11">
        <f t="shared" si="10"/>
        <v>83.333333333333329</v>
      </c>
      <c r="BK9" s="11">
        <f t="shared" si="10"/>
        <v>83.333333333333329</v>
      </c>
      <c r="BL9" s="11">
        <f t="shared" si="10"/>
        <v>83.333333333333329</v>
      </c>
      <c r="BM9" s="11">
        <f t="shared" si="10"/>
        <v>83.333333333333329</v>
      </c>
      <c r="BN9" s="11">
        <f t="shared" si="10"/>
        <v>83.333333333333329</v>
      </c>
      <c r="BO9" s="11">
        <f t="shared" si="10"/>
        <v>83.333333333333329</v>
      </c>
      <c r="BP9" s="11">
        <f t="shared" si="10"/>
        <v>83.333333333333329</v>
      </c>
      <c r="BQ9" s="11">
        <f t="shared" si="10"/>
        <v>83.333333333333329</v>
      </c>
      <c r="BR9" s="11"/>
      <c r="BS9" s="11"/>
      <c r="BT9" s="11"/>
    </row>
    <row r="10" spans="1:120" x14ac:dyDescent="0.3">
      <c r="A10">
        <f t="shared" si="2"/>
        <v>7</v>
      </c>
      <c r="B10" s="14">
        <v>44446</v>
      </c>
      <c r="C10" t="s">
        <v>195</v>
      </c>
      <c r="D10" t="s">
        <v>117</v>
      </c>
      <c r="E10" s="9">
        <v>2575</v>
      </c>
      <c r="F10" s="9">
        <f t="shared" si="3"/>
        <v>42.916666666666664</v>
      </c>
      <c r="G10" s="14">
        <v>46265</v>
      </c>
      <c r="H10" s="11">
        <f t="shared" si="4"/>
        <v>0</v>
      </c>
      <c r="J10" s="11">
        <f t="shared" ref="J10:BQ10" si="11">$F$10</f>
        <v>42.916666666666664</v>
      </c>
      <c r="K10" s="11">
        <f t="shared" si="11"/>
        <v>42.916666666666664</v>
      </c>
      <c r="L10" s="11">
        <f t="shared" si="11"/>
        <v>42.916666666666664</v>
      </c>
      <c r="M10" s="11">
        <f t="shared" si="11"/>
        <v>42.916666666666664</v>
      </c>
      <c r="N10" s="11">
        <f t="shared" si="11"/>
        <v>42.916666666666664</v>
      </c>
      <c r="O10" s="11">
        <f t="shared" si="11"/>
        <v>42.916666666666664</v>
      </c>
      <c r="P10" s="11">
        <f t="shared" si="11"/>
        <v>42.916666666666664</v>
      </c>
      <c r="Q10" s="11">
        <f t="shared" si="11"/>
        <v>42.916666666666664</v>
      </c>
      <c r="R10" s="11">
        <f t="shared" si="11"/>
        <v>42.916666666666664</v>
      </c>
      <c r="S10" s="11">
        <f t="shared" si="11"/>
        <v>42.916666666666664</v>
      </c>
      <c r="T10" s="11">
        <f t="shared" si="11"/>
        <v>42.916666666666664</v>
      </c>
      <c r="U10" s="11">
        <f t="shared" si="11"/>
        <v>42.916666666666664</v>
      </c>
      <c r="V10" s="11">
        <f t="shared" si="11"/>
        <v>42.916666666666664</v>
      </c>
      <c r="W10" s="11">
        <f t="shared" si="11"/>
        <v>42.916666666666664</v>
      </c>
      <c r="X10" s="11">
        <f t="shared" si="11"/>
        <v>42.916666666666664</v>
      </c>
      <c r="Y10" s="11">
        <f t="shared" si="11"/>
        <v>42.916666666666664</v>
      </c>
      <c r="Z10" s="11">
        <f t="shared" si="11"/>
        <v>42.916666666666664</v>
      </c>
      <c r="AA10" s="11">
        <f t="shared" si="11"/>
        <v>42.916666666666664</v>
      </c>
      <c r="AB10" s="11">
        <f t="shared" si="11"/>
        <v>42.916666666666664</v>
      </c>
      <c r="AC10" s="11">
        <f t="shared" si="11"/>
        <v>42.916666666666664</v>
      </c>
      <c r="AD10" s="11">
        <f t="shared" si="11"/>
        <v>42.916666666666664</v>
      </c>
      <c r="AE10" s="11">
        <f t="shared" si="11"/>
        <v>42.916666666666664</v>
      </c>
      <c r="AF10" s="11">
        <f t="shared" si="11"/>
        <v>42.916666666666664</v>
      </c>
      <c r="AG10" s="11">
        <f t="shared" si="11"/>
        <v>42.916666666666664</v>
      </c>
      <c r="AH10" s="11">
        <f t="shared" si="11"/>
        <v>42.916666666666664</v>
      </c>
      <c r="AI10" s="11">
        <f t="shared" si="11"/>
        <v>42.916666666666664</v>
      </c>
      <c r="AJ10" s="11">
        <f t="shared" si="11"/>
        <v>42.916666666666664</v>
      </c>
      <c r="AK10" s="11">
        <f t="shared" si="11"/>
        <v>42.916666666666664</v>
      </c>
      <c r="AL10" s="11">
        <f t="shared" si="11"/>
        <v>42.916666666666664</v>
      </c>
      <c r="AM10" s="11">
        <f t="shared" si="11"/>
        <v>42.916666666666664</v>
      </c>
      <c r="AN10" s="11">
        <f t="shared" si="11"/>
        <v>42.916666666666664</v>
      </c>
      <c r="AO10" s="11">
        <f t="shared" si="11"/>
        <v>42.916666666666664</v>
      </c>
      <c r="AP10" s="11">
        <f t="shared" si="11"/>
        <v>42.916666666666664</v>
      </c>
      <c r="AQ10" s="11">
        <f t="shared" si="11"/>
        <v>42.916666666666664</v>
      </c>
      <c r="AR10" s="11">
        <f t="shared" si="11"/>
        <v>42.916666666666664</v>
      </c>
      <c r="AS10" s="11">
        <f t="shared" si="11"/>
        <v>42.916666666666664</v>
      </c>
      <c r="AT10" s="11">
        <f t="shared" si="11"/>
        <v>42.916666666666664</v>
      </c>
      <c r="AU10" s="11">
        <f t="shared" si="11"/>
        <v>42.916666666666664</v>
      </c>
      <c r="AV10" s="11">
        <f t="shared" si="11"/>
        <v>42.916666666666664</v>
      </c>
      <c r="AW10" s="208">
        <f t="shared" si="11"/>
        <v>42.916666666666664</v>
      </c>
      <c r="AX10" s="208">
        <f t="shared" si="11"/>
        <v>42.916666666666664</v>
      </c>
      <c r="AY10" s="208">
        <f t="shared" si="11"/>
        <v>42.916666666666664</v>
      </c>
      <c r="AZ10" s="208">
        <f t="shared" si="11"/>
        <v>42.916666666666664</v>
      </c>
      <c r="BA10" s="208">
        <f t="shared" si="11"/>
        <v>42.916666666666664</v>
      </c>
      <c r="BB10" s="208">
        <f t="shared" si="11"/>
        <v>42.916666666666664</v>
      </c>
      <c r="BC10" s="208">
        <f t="shared" si="11"/>
        <v>42.916666666666664</v>
      </c>
      <c r="BD10" s="208">
        <f t="shared" si="11"/>
        <v>42.916666666666664</v>
      </c>
      <c r="BE10" s="208">
        <f t="shared" si="11"/>
        <v>42.916666666666664</v>
      </c>
      <c r="BF10" s="208">
        <f t="shared" si="11"/>
        <v>42.916666666666664</v>
      </c>
      <c r="BG10" s="208">
        <f t="shared" si="11"/>
        <v>42.916666666666664</v>
      </c>
      <c r="BH10" s="208">
        <f t="shared" si="11"/>
        <v>42.916666666666664</v>
      </c>
      <c r="BI10" s="208">
        <f t="shared" si="11"/>
        <v>42.916666666666664</v>
      </c>
      <c r="BJ10" s="11">
        <f t="shared" si="11"/>
        <v>42.916666666666664</v>
      </c>
      <c r="BK10" s="11">
        <f t="shared" si="11"/>
        <v>42.916666666666664</v>
      </c>
      <c r="BL10" s="11">
        <f t="shared" si="11"/>
        <v>42.916666666666664</v>
      </c>
      <c r="BM10" s="11">
        <f t="shared" si="11"/>
        <v>42.916666666666664</v>
      </c>
      <c r="BN10" s="11">
        <f t="shared" si="11"/>
        <v>42.916666666666664</v>
      </c>
      <c r="BO10" s="11">
        <f t="shared" si="11"/>
        <v>42.916666666666664</v>
      </c>
      <c r="BP10" s="11">
        <f t="shared" si="11"/>
        <v>42.916666666666664</v>
      </c>
      <c r="BQ10" s="11">
        <f t="shared" si="11"/>
        <v>42.916666666666664</v>
      </c>
      <c r="BR10" s="11"/>
      <c r="BS10" s="11"/>
      <c r="BT10" s="11"/>
    </row>
    <row r="11" spans="1:120" x14ac:dyDescent="0.3">
      <c r="A11">
        <f t="shared" si="2"/>
        <v>8</v>
      </c>
      <c r="B11" s="14">
        <v>44460</v>
      </c>
      <c r="C11" t="s">
        <v>196</v>
      </c>
      <c r="D11" t="s">
        <v>117</v>
      </c>
      <c r="E11" s="9">
        <v>3605</v>
      </c>
      <c r="F11" s="9">
        <f t="shared" si="3"/>
        <v>60.083333333333336</v>
      </c>
      <c r="G11" s="14">
        <v>46265</v>
      </c>
      <c r="H11" s="11">
        <f t="shared" si="4"/>
        <v>0</v>
      </c>
      <c r="J11" s="11">
        <f t="shared" ref="J11:BQ11" si="12">$F$11</f>
        <v>60.083333333333336</v>
      </c>
      <c r="K11" s="11">
        <f t="shared" si="12"/>
        <v>60.083333333333336</v>
      </c>
      <c r="L11" s="11">
        <f t="shared" si="12"/>
        <v>60.083333333333336</v>
      </c>
      <c r="M11" s="11">
        <f t="shared" si="12"/>
        <v>60.083333333333336</v>
      </c>
      <c r="N11" s="11">
        <f t="shared" si="12"/>
        <v>60.083333333333336</v>
      </c>
      <c r="O11" s="11">
        <f t="shared" si="12"/>
        <v>60.083333333333336</v>
      </c>
      <c r="P11" s="11">
        <f t="shared" si="12"/>
        <v>60.083333333333336</v>
      </c>
      <c r="Q11" s="11">
        <f t="shared" si="12"/>
        <v>60.083333333333336</v>
      </c>
      <c r="R11" s="11">
        <f t="shared" si="12"/>
        <v>60.083333333333336</v>
      </c>
      <c r="S11" s="11">
        <f t="shared" si="12"/>
        <v>60.083333333333336</v>
      </c>
      <c r="T11" s="11">
        <f t="shared" si="12"/>
        <v>60.083333333333336</v>
      </c>
      <c r="U11" s="11">
        <f t="shared" si="12"/>
        <v>60.083333333333336</v>
      </c>
      <c r="V11" s="11">
        <f t="shared" si="12"/>
        <v>60.083333333333336</v>
      </c>
      <c r="W11" s="11">
        <f t="shared" si="12"/>
        <v>60.083333333333336</v>
      </c>
      <c r="X11" s="11">
        <f t="shared" si="12"/>
        <v>60.083333333333336</v>
      </c>
      <c r="Y11" s="11">
        <f t="shared" si="12"/>
        <v>60.083333333333336</v>
      </c>
      <c r="Z11" s="11">
        <f t="shared" si="12"/>
        <v>60.083333333333336</v>
      </c>
      <c r="AA11" s="11">
        <f t="shared" si="12"/>
        <v>60.083333333333336</v>
      </c>
      <c r="AB11" s="11">
        <f t="shared" si="12"/>
        <v>60.083333333333336</v>
      </c>
      <c r="AC11" s="11">
        <f t="shared" si="12"/>
        <v>60.083333333333336</v>
      </c>
      <c r="AD11" s="11">
        <f t="shared" si="12"/>
        <v>60.083333333333336</v>
      </c>
      <c r="AE11" s="11">
        <f t="shared" si="12"/>
        <v>60.083333333333336</v>
      </c>
      <c r="AF11" s="11">
        <f t="shared" si="12"/>
        <v>60.083333333333336</v>
      </c>
      <c r="AG11" s="11">
        <f t="shared" si="12"/>
        <v>60.083333333333336</v>
      </c>
      <c r="AH11" s="11">
        <f t="shared" si="12"/>
        <v>60.083333333333336</v>
      </c>
      <c r="AI11" s="11">
        <f t="shared" si="12"/>
        <v>60.083333333333336</v>
      </c>
      <c r="AJ11" s="11">
        <f t="shared" si="12"/>
        <v>60.083333333333336</v>
      </c>
      <c r="AK11" s="11">
        <f t="shared" si="12"/>
        <v>60.083333333333336</v>
      </c>
      <c r="AL11" s="11">
        <f t="shared" si="12"/>
        <v>60.083333333333336</v>
      </c>
      <c r="AM11" s="11">
        <f t="shared" si="12"/>
        <v>60.083333333333336</v>
      </c>
      <c r="AN11" s="11">
        <f t="shared" si="12"/>
        <v>60.083333333333336</v>
      </c>
      <c r="AO11" s="11">
        <f t="shared" si="12"/>
        <v>60.083333333333336</v>
      </c>
      <c r="AP11" s="11">
        <f t="shared" si="12"/>
        <v>60.083333333333336</v>
      </c>
      <c r="AQ11" s="11">
        <f t="shared" si="12"/>
        <v>60.083333333333336</v>
      </c>
      <c r="AR11" s="11">
        <f t="shared" si="12"/>
        <v>60.083333333333336</v>
      </c>
      <c r="AS11" s="11">
        <f t="shared" si="12"/>
        <v>60.083333333333336</v>
      </c>
      <c r="AT11" s="11">
        <f t="shared" si="12"/>
        <v>60.083333333333336</v>
      </c>
      <c r="AU11" s="11">
        <f t="shared" si="12"/>
        <v>60.083333333333336</v>
      </c>
      <c r="AV11" s="11">
        <f t="shared" si="12"/>
        <v>60.083333333333336</v>
      </c>
      <c r="AW11" s="208">
        <f t="shared" si="12"/>
        <v>60.083333333333336</v>
      </c>
      <c r="AX11" s="208">
        <f t="shared" si="12"/>
        <v>60.083333333333336</v>
      </c>
      <c r="AY11" s="208">
        <f t="shared" si="12"/>
        <v>60.083333333333336</v>
      </c>
      <c r="AZ11" s="208">
        <f t="shared" si="12"/>
        <v>60.083333333333336</v>
      </c>
      <c r="BA11" s="208">
        <f t="shared" si="12"/>
        <v>60.083333333333336</v>
      </c>
      <c r="BB11" s="208">
        <f t="shared" si="12"/>
        <v>60.083333333333336</v>
      </c>
      <c r="BC11" s="208">
        <f t="shared" si="12"/>
        <v>60.083333333333336</v>
      </c>
      <c r="BD11" s="208">
        <f t="shared" si="12"/>
        <v>60.083333333333336</v>
      </c>
      <c r="BE11" s="208">
        <f t="shared" si="12"/>
        <v>60.083333333333336</v>
      </c>
      <c r="BF11" s="208">
        <f t="shared" si="12"/>
        <v>60.083333333333336</v>
      </c>
      <c r="BG11" s="208">
        <f t="shared" si="12"/>
        <v>60.083333333333336</v>
      </c>
      <c r="BH11" s="208">
        <f t="shared" si="12"/>
        <v>60.083333333333336</v>
      </c>
      <c r="BI11" s="208">
        <f t="shared" si="12"/>
        <v>60.083333333333336</v>
      </c>
      <c r="BJ11" s="11">
        <f t="shared" si="12"/>
        <v>60.083333333333336</v>
      </c>
      <c r="BK11" s="11">
        <f t="shared" si="12"/>
        <v>60.083333333333336</v>
      </c>
      <c r="BL11" s="11">
        <f t="shared" si="12"/>
        <v>60.083333333333336</v>
      </c>
      <c r="BM11" s="11">
        <f t="shared" si="12"/>
        <v>60.083333333333336</v>
      </c>
      <c r="BN11" s="11">
        <f t="shared" si="12"/>
        <v>60.083333333333336</v>
      </c>
      <c r="BO11" s="11">
        <f t="shared" si="12"/>
        <v>60.083333333333336</v>
      </c>
      <c r="BP11" s="11">
        <f t="shared" si="12"/>
        <v>60.083333333333336</v>
      </c>
      <c r="BQ11" s="11">
        <f t="shared" si="12"/>
        <v>60.083333333333336</v>
      </c>
      <c r="BR11" s="11"/>
      <c r="BS11" s="11"/>
      <c r="BT11" s="11"/>
    </row>
    <row r="12" spans="1:120" x14ac:dyDescent="0.3">
      <c r="A12">
        <f t="shared" si="2"/>
        <v>9</v>
      </c>
      <c r="B12" s="14">
        <v>44460</v>
      </c>
      <c r="C12" t="s">
        <v>196</v>
      </c>
      <c r="D12" t="s">
        <v>197</v>
      </c>
      <c r="E12" s="9">
        <v>6798</v>
      </c>
      <c r="F12" s="9">
        <f>E12/16</f>
        <v>424.875</v>
      </c>
      <c r="G12" s="14">
        <v>44896</v>
      </c>
      <c r="H12" s="11">
        <f t="shared" si="4"/>
        <v>0</v>
      </c>
      <c r="J12" s="11">
        <f t="shared" ref="J12:Y12" si="13">$F$12</f>
        <v>424.875</v>
      </c>
      <c r="K12" s="11">
        <f t="shared" si="13"/>
        <v>424.875</v>
      </c>
      <c r="L12" s="11">
        <f t="shared" si="13"/>
        <v>424.875</v>
      </c>
      <c r="M12" s="11">
        <f t="shared" si="13"/>
        <v>424.875</v>
      </c>
      <c r="N12" s="11">
        <f t="shared" si="13"/>
        <v>424.875</v>
      </c>
      <c r="O12" s="11">
        <f t="shared" si="13"/>
        <v>424.875</v>
      </c>
      <c r="P12" s="11">
        <f t="shared" si="13"/>
        <v>424.875</v>
      </c>
      <c r="Q12" s="11">
        <f t="shared" si="13"/>
        <v>424.875</v>
      </c>
      <c r="R12" s="11">
        <f t="shared" si="13"/>
        <v>424.875</v>
      </c>
      <c r="S12" s="11">
        <f t="shared" si="13"/>
        <v>424.875</v>
      </c>
      <c r="T12" s="11">
        <f t="shared" si="13"/>
        <v>424.875</v>
      </c>
      <c r="U12" s="11">
        <f t="shared" si="13"/>
        <v>424.875</v>
      </c>
      <c r="V12" s="11">
        <f t="shared" si="13"/>
        <v>424.875</v>
      </c>
      <c r="W12" s="11">
        <f t="shared" si="13"/>
        <v>424.875</v>
      </c>
      <c r="X12" s="11">
        <f t="shared" si="13"/>
        <v>424.875</v>
      </c>
      <c r="Y12" s="11">
        <f t="shared" si="13"/>
        <v>424.875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208"/>
      <c r="AX12" s="208"/>
      <c r="AY12" s="208"/>
      <c r="AZ12" s="208"/>
      <c r="BA12" s="208"/>
      <c r="BB12" s="208"/>
      <c r="BC12" s="208"/>
      <c r="BD12" s="208"/>
      <c r="BE12" s="208"/>
      <c r="BF12" s="208"/>
      <c r="BG12" s="208"/>
      <c r="BH12" s="208"/>
      <c r="BI12" s="208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</row>
    <row r="13" spans="1:120" x14ac:dyDescent="0.3">
      <c r="A13">
        <f t="shared" si="2"/>
        <v>10</v>
      </c>
      <c r="B13" s="14">
        <v>44460</v>
      </c>
      <c r="C13" t="s">
        <v>196</v>
      </c>
      <c r="D13" t="s">
        <v>117</v>
      </c>
      <c r="E13" s="9">
        <f>7000-3605</f>
        <v>3395</v>
      </c>
      <c r="F13" s="9">
        <f>E13/60</f>
        <v>56.583333333333336</v>
      </c>
      <c r="G13" s="14">
        <v>46265</v>
      </c>
      <c r="H13" s="11">
        <f t="shared" si="4"/>
        <v>0</v>
      </c>
      <c r="J13" s="11">
        <f t="shared" ref="J13:BQ13" si="14">$F$13</f>
        <v>56.583333333333336</v>
      </c>
      <c r="K13" s="11">
        <f t="shared" si="14"/>
        <v>56.583333333333336</v>
      </c>
      <c r="L13" s="11">
        <f t="shared" si="14"/>
        <v>56.583333333333336</v>
      </c>
      <c r="M13" s="11">
        <f t="shared" si="14"/>
        <v>56.583333333333336</v>
      </c>
      <c r="N13" s="11">
        <f t="shared" si="14"/>
        <v>56.583333333333336</v>
      </c>
      <c r="O13" s="11">
        <f t="shared" si="14"/>
        <v>56.583333333333336</v>
      </c>
      <c r="P13" s="11">
        <f t="shared" si="14"/>
        <v>56.583333333333336</v>
      </c>
      <c r="Q13" s="11">
        <f t="shared" si="14"/>
        <v>56.583333333333336</v>
      </c>
      <c r="R13" s="11">
        <f t="shared" si="14"/>
        <v>56.583333333333336</v>
      </c>
      <c r="S13" s="11">
        <f t="shared" si="14"/>
        <v>56.583333333333336</v>
      </c>
      <c r="T13" s="11">
        <f t="shared" si="14"/>
        <v>56.583333333333336</v>
      </c>
      <c r="U13" s="11">
        <f t="shared" si="14"/>
        <v>56.583333333333336</v>
      </c>
      <c r="V13" s="11">
        <f t="shared" si="14"/>
        <v>56.583333333333336</v>
      </c>
      <c r="W13" s="11">
        <f t="shared" si="14"/>
        <v>56.583333333333336</v>
      </c>
      <c r="X13" s="11">
        <f t="shared" si="14"/>
        <v>56.583333333333336</v>
      </c>
      <c r="Y13" s="11">
        <f t="shared" si="14"/>
        <v>56.583333333333336</v>
      </c>
      <c r="Z13" s="11">
        <f t="shared" si="14"/>
        <v>56.583333333333336</v>
      </c>
      <c r="AA13" s="11">
        <f t="shared" si="14"/>
        <v>56.583333333333336</v>
      </c>
      <c r="AB13" s="11">
        <f t="shared" si="14"/>
        <v>56.583333333333336</v>
      </c>
      <c r="AC13" s="11">
        <f t="shared" si="14"/>
        <v>56.583333333333336</v>
      </c>
      <c r="AD13" s="11">
        <f t="shared" si="14"/>
        <v>56.583333333333336</v>
      </c>
      <c r="AE13" s="11">
        <f t="shared" si="14"/>
        <v>56.583333333333336</v>
      </c>
      <c r="AF13" s="11">
        <f t="shared" si="14"/>
        <v>56.583333333333336</v>
      </c>
      <c r="AG13" s="11">
        <f t="shared" si="14"/>
        <v>56.583333333333336</v>
      </c>
      <c r="AH13" s="11">
        <f t="shared" si="14"/>
        <v>56.583333333333336</v>
      </c>
      <c r="AI13" s="11">
        <f t="shared" si="14"/>
        <v>56.583333333333336</v>
      </c>
      <c r="AJ13" s="11">
        <f t="shared" si="14"/>
        <v>56.583333333333336</v>
      </c>
      <c r="AK13" s="11">
        <f t="shared" si="14"/>
        <v>56.583333333333336</v>
      </c>
      <c r="AL13" s="11">
        <f t="shared" si="14"/>
        <v>56.583333333333336</v>
      </c>
      <c r="AM13" s="11">
        <f t="shared" si="14"/>
        <v>56.583333333333336</v>
      </c>
      <c r="AN13" s="11">
        <f t="shared" si="14"/>
        <v>56.583333333333336</v>
      </c>
      <c r="AO13" s="11">
        <f t="shared" si="14"/>
        <v>56.583333333333336</v>
      </c>
      <c r="AP13" s="11">
        <f t="shared" si="14"/>
        <v>56.583333333333336</v>
      </c>
      <c r="AQ13" s="11">
        <f t="shared" si="14"/>
        <v>56.583333333333336</v>
      </c>
      <c r="AR13" s="11">
        <f t="shared" si="14"/>
        <v>56.583333333333336</v>
      </c>
      <c r="AS13" s="11">
        <f t="shared" si="14"/>
        <v>56.583333333333336</v>
      </c>
      <c r="AT13" s="11">
        <f t="shared" si="14"/>
        <v>56.583333333333336</v>
      </c>
      <c r="AU13" s="11">
        <f t="shared" si="14"/>
        <v>56.583333333333336</v>
      </c>
      <c r="AV13" s="11">
        <f t="shared" si="14"/>
        <v>56.583333333333336</v>
      </c>
      <c r="AW13" s="208">
        <f t="shared" si="14"/>
        <v>56.583333333333336</v>
      </c>
      <c r="AX13" s="208">
        <f t="shared" si="14"/>
        <v>56.583333333333336</v>
      </c>
      <c r="AY13" s="208">
        <f t="shared" si="14"/>
        <v>56.583333333333336</v>
      </c>
      <c r="AZ13" s="208">
        <f t="shared" si="14"/>
        <v>56.583333333333336</v>
      </c>
      <c r="BA13" s="208">
        <f t="shared" si="14"/>
        <v>56.583333333333336</v>
      </c>
      <c r="BB13" s="208">
        <f t="shared" si="14"/>
        <v>56.583333333333336</v>
      </c>
      <c r="BC13" s="208">
        <f t="shared" si="14"/>
        <v>56.583333333333336</v>
      </c>
      <c r="BD13" s="208">
        <f t="shared" si="14"/>
        <v>56.583333333333336</v>
      </c>
      <c r="BE13" s="208">
        <f t="shared" si="14"/>
        <v>56.583333333333336</v>
      </c>
      <c r="BF13" s="208">
        <f t="shared" si="14"/>
        <v>56.583333333333336</v>
      </c>
      <c r="BG13" s="208">
        <f t="shared" si="14"/>
        <v>56.583333333333336</v>
      </c>
      <c r="BH13" s="208">
        <f t="shared" si="14"/>
        <v>56.583333333333336</v>
      </c>
      <c r="BI13" s="208">
        <f t="shared" si="14"/>
        <v>56.583333333333336</v>
      </c>
      <c r="BJ13" s="11">
        <f t="shared" si="14"/>
        <v>56.583333333333336</v>
      </c>
      <c r="BK13" s="11">
        <f t="shared" si="14"/>
        <v>56.583333333333336</v>
      </c>
      <c r="BL13" s="11">
        <f t="shared" si="14"/>
        <v>56.583333333333336</v>
      </c>
      <c r="BM13" s="11">
        <f t="shared" si="14"/>
        <v>56.583333333333336</v>
      </c>
      <c r="BN13" s="11">
        <f t="shared" si="14"/>
        <v>56.583333333333336</v>
      </c>
      <c r="BO13" s="11">
        <f t="shared" si="14"/>
        <v>56.583333333333336</v>
      </c>
      <c r="BP13" s="11">
        <f t="shared" si="14"/>
        <v>56.583333333333336</v>
      </c>
      <c r="BQ13" s="11">
        <f t="shared" si="14"/>
        <v>56.583333333333336</v>
      </c>
      <c r="BR13" s="11"/>
      <c r="BS13" s="11"/>
      <c r="BT13" s="11"/>
    </row>
    <row r="14" spans="1:120" x14ac:dyDescent="0.3">
      <c r="A14">
        <f t="shared" si="2"/>
        <v>11</v>
      </c>
      <c r="B14" s="14">
        <v>44460</v>
      </c>
      <c r="C14" t="s">
        <v>196</v>
      </c>
      <c r="D14" t="s">
        <v>197</v>
      </c>
      <c r="E14" s="9">
        <f>10100-3395</f>
        <v>6705</v>
      </c>
      <c r="F14" s="9">
        <f>E14/16</f>
        <v>419.0625</v>
      </c>
      <c r="G14" s="14">
        <v>44896</v>
      </c>
      <c r="H14" s="11">
        <f t="shared" si="4"/>
        <v>0</v>
      </c>
      <c r="J14" s="11">
        <f t="shared" ref="J14:Y14" si="15">$F$14</f>
        <v>419.0625</v>
      </c>
      <c r="K14" s="11">
        <f t="shared" si="15"/>
        <v>419.0625</v>
      </c>
      <c r="L14" s="11">
        <f t="shared" si="15"/>
        <v>419.0625</v>
      </c>
      <c r="M14" s="11">
        <f t="shared" si="15"/>
        <v>419.0625</v>
      </c>
      <c r="N14" s="11">
        <f t="shared" si="15"/>
        <v>419.0625</v>
      </c>
      <c r="O14" s="11">
        <f t="shared" si="15"/>
        <v>419.0625</v>
      </c>
      <c r="P14" s="11">
        <f t="shared" si="15"/>
        <v>419.0625</v>
      </c>
      <c r="Q14" s="11">
        <f t="shared" si="15"/>
        <v>419.0625</v>
      </c>
      <c r="R14" s="11">
        <f t="shared" si="15"/>
        <v>419.0625</v>
      </c>
      <c r="S14" s="11">
        <f t="shared" si="15"/>
        <v>419.0625</v>
      </c>
      <c r="T14" s="11">
        <f t="shared" si="15"/>
        <v>419.0625</v>
      </c>
      <c r="U14" s="11">
        <f t="shared" si="15"/>
        <v>419.0625</v>
      </c>
      <c r="V14" s="11">
        <f t="shared" si="15"/>
        <v>419.0625</v>
      </c>
      <c r="W14" s="11">
        <f t="shared" si="15"/>
        <v>419.0625</v>
      </c>
      <c r="X14" s="11">
        <f t="shared" si="15"/>
        <v>419.0625</v>
      </c>
      <c r="Y14" s="11">
        <f t="shared" si="15"/>
        <v>419.0625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208"/>
      <c r="AX14" s="208"/>
      <c r="AY14" s="208"/>
      <c r="AZ14" s="208"/>
      <c r="BA14" s="208"/>
      <c r="BB14" s="208"/>
      <c r="BC14" s="208"/>
      <c r="BD14" s="208"/>
      <c r="BE14" s="208"/>
      <c r="BF14" s="208"/>
      <c r="BG14" s="208"/>
      <c r="BH14" s="208"/>
      <c r="BI14" s="208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</row>
    <row r="15" spans="1:120" x14ac:dyDescent="0.3">
      <c r="A15">
        <f t="shared" si="2"/>
        <v>12</v>
      </c>
      <c r="B15" s="14">
        <v>44465</v>
      </c>
      <c r="C15" t="s">
        <v>198</v>
      </c>
      <c r="D15" t="s">
        <v>117</v>
      </c>
      <c r="E15" s="9">
        <v>5150</v>
      </c>
      <c r="F15" s="9">
        <f t="shared" ref="F15:F26" si="16">E15/60</f>
        <v>85.833333333333329</v>
      </c>
      <c r="G15" s="14">
        <v>46265</v>
      </c>
      <c r="H15" s="11">
        <f t="shared" si="4"/>
        <v>0</v>
      </c>
      <c r="J15" s="11">
        <f t="shared" ref="J15:BQ15" si="17">$F$15</f>
        <v>85.833333333333329</v>
      </c>
      <c r="K15" s="11">
        <f t="shared" si="17"/>
        <v>85.833333333333329</v>
      </c>
      <c r="L15" s="11">
        <f t="shared" si="17"/>
        <v>85.833333333333329</v>
      </c>
      <c r="M15" s="11">
        <f t="shared" si="17"/>
        <v>85.833333333333329</v>
      </c>
      <c r="N15" s="11">
        <f t="shared" si="17"/>
        <v>85.833333333333329</v>
      </c>
      <c r="O15" s="11">
        <f t="shared" si="17"/>
        <v>85.833333333333329</v>
      </c>
      <c r="P15" s="11">
        <f t="shared" si="17"/>
        <v>85.833333333333329</v>
      </c>
      <c r="Q15" s="11">
        <f t="shared" si="17"/>
        <v>85.833333333333329</v>
      </c>
      <c r="R15" s="11">
        <f t="shared" si="17"/>
        <v>85.833333333333329</v>
      </c>
      <c r="S15" s="11">
        <f t="shared" si="17"/>
        <v>85.833333333333329</v>
      </c>
      <c r="T15" s="11">
        <f t="shared" si="17"/>
        <v>85.833333333333329</v>
      </c>
      <c r="U15" s="11">
        <f t="shared" si="17"/>
        <v>85.833333333333329</v>
      </c>
      <c r="V15" s="11">
        <f t="shared" si="17"/>
        <v>85.833333333333329</v>
      </c>
      <c r="W15" s="11">
        <f t="shared" si="17"/>
        <v>85.833333333333329</v>
      </c>
      <c r="X15" s="11">
        <f t="shared" si="17"/>
        <v>85.833333333333329</v>
      </c>
      <c r="Y15" s="11">
        <f t="shared" si="17"/>
        <v>85.833333333333329</v>
      </c>
      <c r="Z15" s="11">
        <f t="shared" si="17"/>
        <v>85.833333333333329</v>
      </c>
      <c r="AA15" s="11">
        <f t="shared" si="17"/>
        <v>85.833333333333329</v>
      </c>
      <c r="AB15" s="11">
        <f t="shared" si="17"/>
        <v>85.833333333333329</v>
      </c>
      <c r="AC15" s="11">
        <f t="shared" si="17"/>
        <v>85.833333333333329</v>
      </c>
      <c r="AD15" s="11">
        <f t="shared" si="17"/>
        <v>85.833333333333329</v>
      </c>
      <c r="AE15" s="11">
        <f t="shared" si="17"/>
        <v>85.833333333333329</v>
      </c>
      <c r="AF15" s="11">
        <f t="shared" si="17"/>
        <v>85.833333333333329</v>
      </c>
      <c r="AG15" s="11">
        <f t="shared" si="17"/>
        <v>85.833333333333329</v>
      </c>
      <c r="AH15" s="11">
        <f t="shared" si="17"/>
        <v>85.833333333333329</v>
      </c>
      <c r="AI15" s="11">
        <f t="shared" si="17"/>
        <v>85.833333333333329</v>
      </c>
      <c r="AJ15" s="11">
        <f t="shared" si="17"/>
        <v>85.833333333333329</v>
      </c>
      <c r="AK15" s="11">
        <f t="shared" si="17"/>
        <v>85.833333333333329</v>
      </c>
      <c r="AL15" s="11">
        <f t="shared" si="17"/>
        <v>85.833333333333329</v>
      </c>
      <c r="AM15" s="11">
        <f t="shared" si="17"/>
        <v>85.833333333333329</v>
      </c>
      <c r="AN15" s="11">
        <f t="shared" si="17"/>
        <v>85.833333333333329</v>
      </c>
      <c r="AO15" s="11">
        <f t="shared" si="17"/>
        <v>85.833333333333329</v>
      </c>
      <c r="AP15" s="11">
        <f t="shared" si="17"/>
        <v>85.833333333333329</v>
      </c>
      <c r="AQ15" s="11">
        <f t="shared" si="17"/>
        <v>85.833333333333329</v>
      </c>
      <c r="AR15" s="11">
        <f t="shared" si="17"/>
        <v>85.833333333333329</v>
      </c>
      <c r="AS15" s="11">
        <f t="shared" si="17"/>
        <v>85.833333333333329</v>
      </c>
      <c r="AT15" s="11">
        <f t="shared" si="17"/>
        <v>85.833333333333329</v>
      </c>
      <c r="AU15" s="11">
        <f t="shared" si="17"/>
        <v>85.833333333333329</v>
      </c>
      <c r="AV15" s="11">
        <f t="shared" si="17"/>
        <v>85.833333333333329</v>
      </c>
      <c r="AW15" s="208">
        <f t="shared" si="17"/>
        <v>85.833333333333329</v>
      </c>
      <c r="AX15" s="208">
        <f t="shared" si="17"/>
        <v>85.833333333333329</v>
      </c>
      <c r="AY15" s="208">
        <f t="shared" si="17"/>
        <v>85.833333333333329</v>
      </c>
      <c r="AZ15" s="208">
        <f t="shared" si="17"/>
        <v>85.833333333333329</v>
      </c>
      <c r="BA15" s="208">
        <f t="shared" si="17"/>
        <v>85.833333333333329</v>
      </c>
      <c r="BB15" s="208">
        <f t="shared" si="17"/>
        <v>85.833333333333329</v>
      </c>
      <c r="BC15" s="208">
        <f t="shared" si="17"/>
        <v>85.833333333333329</v>
      </c>
      <c r="BD15" s="208">
        <f t="shared" si="17"/>
        <v>85.833333333333329</v>
      </c>
      <c r="BE15" s="208">
        <f t="shared" si="17"/>
        <v>85.833333333333329</v>
      </c>
      <c r="BF15" s="208">
        <f t="shared" si="17"/>
        <v>85.833333333333329</v>
      </c>
      <c r="BG15" s="208">
        <f t="shared" si="17"/>
        <v>85.833333333333329</v>
      </c>
      <c r="BH15" s="208">
        <f t="shared" si="17"/>
        <v>85.833333333333329</v>
      </c>
      <c r="BI15" s="208">
        <f t="shared" si="17"/>
        <v>85.833333333333329</v>
      </c>
      <c r="BJ15" s="11">
        <f t="shared" si="17"/>
        <v>85.833333333333329</v>
      </c>
      <c r="BK15" s="11">
        <f t="shared" si="17"/>
        <v>85.833333333333329</v>
      </c>
      <c r="BL15" s="11">
        <f t="shared" si="17"/>
        <v>85.833333333333329</v>
      </c>
      <c r="BM15" s="11">
        <f t="shared" si="17"/>
        <v>85.833333333333329</v>
      </c>
      <c r="BN15" s="11">
        <f t="shared" si="17"/>
        <v>85.833333333333329</v>
      </c>
      <c r="BO15" s="11">
        <f t="shared" si="17"/>
        <v>85.833333333333329</v>
      </c>
      <c r="BP15" s="11">
        <f t="shared" si="17"/>
        <v>85.833333333333329</v>
      </c>
      <c r="BQ15" s="11">
        <f t="shared" si="17"/>
        <v>85.833333333333329</v>
      </c>
      <c r="BR15" s="11"/>
      <c r="BS15" s="11"/>
      <c r="BT15" s="11"/>
    </row>
    <row r="16" spans="1:120" x14ac:dyDescent="0.3">
      <c r="A16">
        <f t="shared" si="2"/>
        <v>13</v>
      </c>
      <c r="B16" s="14">
        <v>44469</v>
      </c>
      <c r="C16" t="s">
        <v>199</v>
      </c>
      <c r="D16" t="s">
        <v>117</v>
      </c>
      <c r="E16" s="9">
        <v>6775</v>
      </c>
      <c r="F16" s="9">
        <f t="shared" si="16"/>
        <v>112.91666666666667</v>
      </c>
      <c r="G16" s="14">
        <v>46265</v>
      </c>
      <c r="H16" s="11">
        <f t="shared" si="4"/>
        <v>0</v>
      </c>
      <c r="J16" s="11">
        <f t="shared" ref="J16:BQ16" si="18">$F$16</f>
        <v>112.91666666666667</v>
      </c>
      <c r="K16" s="11">
        <f t="shared" si="18"/>
        <v>112.91666666666667</v>
      </c>
      <c r="L16" s="11">
        <f t="shared" si="18"/>
        <v>112.91666666666667</v>
      </c>
      <c r="M16" s="11">
        <f t="shared" si="18"/>
        <v>112.91666666666667</v>
      </c>
      <c r="N16" s="11">
        <f t="shared" si="18"/>
        <v>112.91666666666667</v>
      </c>
      <c r="O16" s="11">
        <f t="shared" si="18"/>
        <v>112.91666666666667</v>
      </c>
      <c r="P16" s="11">
        <f t="shared" si="18"/>
        <v>112.91666666666667</v>
      </c>
      <c r="Q16" s="11">
        <f t="shared" si="18"/>
        <v>112.91666666666667</v>
      </c>
      <c r="R16" s="11">
        <f t="shared" si="18"/>
        <v>112.91666666666667</v>
      </c>
      <c r="S16" s="11">
        <f t="shared" si="18"/>
        <v>112.91666666666667</v>
      </c>
      <c r="T16" s="11">
        <f t="shared" si="18"/>
        <v>112.91666666666667</v>
      </c>
      <c r="U16" s="11">
        <f t="shared" si="18"/>
        <v>112.91666666666667</v>
      </c>
      <c r="V16" s="11">
        <f t="shared" si="18"/>
        <v>112.91666666666667</v>
      </c>
      <c r="W16" s="11">
        <f t="shared" si="18"/>
        <v>112.91666666666667</v>
      </c>
      <c r="X16" s="11">
        <f t="shared" si="18"/>
        <v>112.91666666666667</v>
      </c>
      <c r="Y16" s="11">
        <f t="shared" si="18"/>
        <v>112.91666666666667</v>
      </c>
      <c r="Z16" s="11">
        <f t="shared" si="18"/>
        <v>112.91666666666667</v>
      </c>
      <c r="AA16" s="11">
        <f t="shared" si="18"/>
        <v>112.91666666666667</v>
      </c>
      <c r="AB16" s="11">
        <f t="shared" si="18"/>
        <v>112.91666666666667</v>
      </c>
      <c r="AC16" s="11">
        <f t="shared" si="18"/>
        <v>112.91666666666667</v>
      </c>
      <c r="AD16" s="11">
        <f t="shared" si="18"/>
        <v>112.91666666666667</v>
      </c>
      <c r="AE16" s="11">
        <f t="shared" si="18"/>
        <v>112.91666666666667</v>
      </c>
      <c r="AF16" s="11">
        <f t="shared" si="18"/>
        <v>112.91666666666667</v>
      </c>
      <c r="AG16" s="11">
        <f t="shared" si="18"/>
        <v>112.91666666666667</v>
      </c>
      <c r="AH16" s="11">
        <f t="shared" si="18"/>
        <v>112.91666666666667</v>
      </c>
      <c r="AI16" s="11">
        <f t="shared" si="18"/>
        <v>112.91666666666667</v>
      </c>
      <c r="AJ16" s="11">
        <f t="shared" si="18"/>
        <v>112.91666666666667</v>
      </c>
      <c r="AK16" s="11">
        <f t="shared" si="18"/>
        <v>112.91666666666667</v>
      </c>
      <c r="AL16" s="11">
        <f t="shared" si="18"/>
        <v>112.91666666666667</v>
      </c>
      <c r="AM16" s="11">
        <f t="shared" si="18"/>
        <v>112.91666666666667</v>
      </c>
      <c r="AN16" s="11">
        <f t="shared" si="18"/>
        <v>112.91666666666667</v>
      </c>
      <c r="AO16" s="11">
        <f t="shared" si="18"/>
        <v>112.91666666666667</v>
      </c>
      <c r="AP16" s="11">
        <f t="shared" si="18"/>
        <v>112.91666666666667</v>
      </c>
      <c r="AQ16" s="11">
        <f t="shared" si="18"/>
        <v>112.91666666666667</v>
      </c>
      <c r="AR16" s="11">
        <f t="shared" si="18"/>
        <v>112.91666666666667</v>
      </c>
      <c r="AS16" s="11">
        <f t="shared" si="18"/>
        <v>112.91666666666667</v>
      </c>
      <c r="AT16" s="11">
        <f t="shared" si="18"/>
        <v>112.91666666666667</v>
      </c>
      <c r="AU16" s="11">
        <f t="shared" si="18"/>
        <v>112.91666666666667</v>
      </c>
      <c r="AV16" s="11">
        <f t="shared" si="18"/>
        <v>112.91666666666667</v>
      </c>
      <c r="AW16" s="208">
        <f t="shared" si="18"/>
        <v>112.91666666666667</v>
      </c>
      <c r="AX16" s="208">
        <f t="shared" si="18"/>
        <v>112.91666666666667</v>
      </c>
      <c r="AY16" s="208">
        <f t="shared" si="18"/>
        <v>112.91666666666667</v>
      </c>
      <c r="AZ16" s="208">
        <f t="shared" si="18"/>
        <v>112.91666666666667</v>
      </c>
      <c r="BA16" s="208">
        <f t="shared" si="18"/>
        <v>112.91666666666667</v>
      </c>
      <c r="BB16" s="208">
        <f t="shared" si="18"/>
        <v>112.91666666666667</v>
      </c>
      <c r="BC16" s="208">
        <f t="shared" si="18"/>
        <v>112.91666666666667</v>
      </c>
      <c r="BD16" s="208">
        <f t="shared" si="18"/>
        <v>112.91666666666667</v>
      </c>
      <c r="BE16" s="208">
        <f t="shared" si="18"/>
        <v>112.91666666666667</v>
      </c>
      <c r="BF16" s="208">
        <f t="shared" si="18"/>
        <v>112.91666666666667</v>
      </c>
      <c r="BG16" s="208">
        <f t="shared" si="18"/>
        <v>112.91666666666667</v>
      </c>
      <c r="BH16" s="208">
        <f t="shared" si="18"/>
        <v>112.91666666666667</v>
      </c>
      <c r="BI16" s="208">
        <f t="shared" si="18"/>
        <v>112.91666666666667</v>
      </c>
      <c r="BJ16" s="11">
        <f t="shared" si="18"/>
        <v>112.91666666666667</v>
      </c>
      <c r="BK16" s="11">
        <f t="shared" si="18"/>
        <v>112.91666666666667</v>
      </c>
      <c r="BL16" s="11">
        <f t="shared" si="18"/>
        <v>112.91666666666667</v>
      </c>
      <c r="BM16" s="11">
        <f t="shared" si="18"/>
        <v>112.91666666666667</v>
      </c>
      <c r="BN16" s="11">
        <f t="shared" si="18"/>
        <v>112.91666666666667</v>
      </c>
      <c r="BO16" s="11">
        <f t="shared" si="18"/>
        <v>112.91666666666667</v>
      </c>
      <c r="BP16" s="11">
        <f t="shared" si="18"/>
        <v>112.91666666666667</v>
      </c>
      <c r="BQ16" s="11">
        <f t="shared" si="18"/>
        <v>112.91666666666667</v>
      </c>
      <c r="BR16" s="11"/>
      <c r="BS16" s="11"/>
      <c r="BT16" s="11"/>
    </row>
    <row r="17" spans="1:76" x14ac:dyDescent="0.3">
      <c r="A17">
        <f t="shared" si="2"/>
        <v>14</v>
      </c>
      <c r="B17" s="14">
        <v>44470</v>
      </c>
      <c r="C17" t="s">
        <v>200</v>
      </c>
      <c r="D17" t="s">
        <v>117</v>
      </c>
      <c r="E17" s="9">
        <v>5150</v>
      </c>
      <c r="F17" s="9">
        <f t="shared" si="16"/>
        <v>85.833333333333329</v>
      </c>
      <c r="G17" s="14">
        <v>46295</v>
      </c>
      <c r="H17" s="11">
        <f t="shared" si="4"/>
        <v>0</v>
      </c>
      <c r="K17" s="11">
        <f t="shared" ref="K17:BR17" si="19">$F$17</f>
        <v>85.833333333333329</v>
      </c>
      <c r="L17" s="11">
        <f t="shared" si="19"/>
        <v>85.833333333333329</v>
      </c>
      <c r="M17" s="11">
        <f t="shared" si="19"/>
        <v>85.833333333333329</v>
      </c>
      <c r="N17" s="11">
        <f t="shared" si="19"/>
        <v>85.833333333333329</v>
      </c>
      <c r="O17" s="11">
        <f t="shared" si="19"/>
        <v>85.833333333333329</v>
      </c>
      <c r="P17" s="11">
        <f t="shared" si="19"/>
        <v>85.833333333333329</v>
      </c>
      <c r="Q17" s="11">
        <f t="shared" si="19"/>
        <v>85.833333333333329</v>
      </c>
      <c r="R17" s="11">
        <f t="shared" si="19"/>
        <v>85.833333333333329</v>
      </c>
      <c r="S17" s="11">
        <f t="shared" si="19"/>
        <v>85.833333333333329</v>
      </c>
      <c r="T17" s="11">
        <f t="shared" si="19"/>
        <v>85.833333333333329</v>
      </c>
      <c r="U17" s="11">
        <f t="shared" si="19"/>
        <v>85.833333333333329</v>
      </c>
      <c r="V17" s="11">
        <f t="shared" si="19"/>
        <v>85.833333333333329</v>
      </c>
      <c r="W17" s="11">
        <f t="shared" si="19"/>
        <v>85.833333333333329</v>
      </c>
      <c r="X17" s="11">
        <f t="shared" si="19"/>
        <v>85.833333333333329</v>
      </c>
      <c r="Y17" s="11">
        <f t="shared" si="19"/>
        <v>85.833333333333329</v>
      </c>
      <c r="Z17" s="11">
        <f t="shared" si="19"/>
        <v>85.833333333333329</v>
      </c>
      <c r="AA17" s="11">
        <f t="shared" si="19"/>
        <v>85.833333333333329</v>
      </c>
      <c r="AB17" s="11">
        <f t="shared" si="19"/>
        <v>85.833333333333329</v>
      </c>
      <c r="AC17" s="11">
        <f t="shared" si="19"/>
        <v>85.833333333333329</v>
      </c>
      <c r="AD17" s="11">
        <f t="shared" si="19"/>
        <v>85.833333333333329</v>
      </c>
      <c r="AE17" s="11">
        <f t="shared" si="19"/>
        <v>85.833333333333329</v>
      </c>
      <c r="AF17" s="11">
        <f t="shared" si="19"/>
        <v>85.833333333333329</v>
      </c>
      <c r="AG17" s="11">
        <f t="shared" si="19"/>
        <v>85.833333333333329</v>
      </c>
      <c r="AH17" s="11">
        <f t="shared" si="19"/>
        <v>85.833333333333329</v>
      </c>
      <c r="AI17" s="11">
        <f t="shared" si="19"/>
        <v>85.833333333333329</v>
      </c>
      <c r="AJ17" s="11">
        <f t="shared" si="19"/>
        <v>85.833333333333329</v>
      </c>
      <c r="AK17" s="11">
        <f t="shared" si="19"/>
        <v>85.833333333333329</v>
      </c>
      <c r="AL17" s="11">
        <f t="shared" si="19"/>
        <v>85.833333333333329</v>
      </c>
      <c r="AM17" s="11">
        <f t="shared" si="19"/>
        <v>85.833333333333329</v>
      </c>
      <c r="AN17" s="11">
        <f t="shared" si="19"/>
        <v>85.833333333333329</v>
      </c>
      <c r="AO17" s="11">
        <f t="shared" si="19"/>
        <v>85.833333333333329</v>
      </c>
      <c r="AP17" s="11">
        <f t="shared" si="19"/>
        <v>85.833333333333329</v>
      </c>
      <c r="AQ17" s="11">
        <f t="shared" si="19"/>
        <v>85.833333333333329</v>
      </c>
      <c r="AR17" s="11">
        <f t="shared" si="19"/>
        <v>85.833333333333329</v>
      </c>
      <c r="AS17" s="11">
        <f t="shared" si="19"/>
        <v>85.833333333333329</v>
      </c>
      <c r="AT17" s="11">
        <f t="shared" si="19"/>
        <v>85.833333333333329</v>
      </c>
      <c r="AU17" s="11">
        <f t="shared" si="19"/>
        <v>85.833333333333329</v>
      </c>
      <c r="AV17" s="11">
        <f t="shared" si="19"/>
        <v>85.833333333333329</v>
      </c>
      <c r="AW17" s="208">
        <f t="shared" si="19"/>
        <v>85.833333333333329</v>
      </c>
      <c r="AX17" s="208">
        <f t="shared" si="19"/>
        <v>85.833333333333329</v>
      </c>
      <c r="AY17" s="208">
        <f t="shared" si="19"/>
        <v>85.833333333333329</v>
      </c>
      <c r="AZ17" s="208">
        <f t="shared" si="19"/>
        <v>85.833333333333329</v>
      </c>
      <c r="BA17" s="208">
        <f t="shared" si="19"/>
        <v>85.833333333333329</v>
      </c>
      <c r="BB17" s="208">
        <f t="shared" si="19"/>
        <v>85.833333333333329</v>
      </c>
      <c r="BC17" s="208">
        <f t="shared" si="19"/>
        <v>85.833333333333329</v>
      </c>
      <c r="BD17" s="208">
        <f t="shared" si="19"/>
        <v>85.833333333333329</v>
      </c>
      <c r="BE17" s="208">
        <f t="shared" si="19"/>
        <v>85.833333333333329</v>
      </c>
      <c r="BF17" s="208">
        <f t="shared" si="19"/>
        <v>85.833333333333329</v>
      </c>
      <c r="BG17" s="208">
        <f t="shared" si="19"/>
        <v>85.833333333333329</v>
      </c>
      <c r="BH17" s="208">
        <f t="shared" si="19"/>
        <v>85.833333333333329</v>
      </c>
      <c r="BI17" s="208">
        <f t="shared" si="19"/>
        <v>85.833333333333329</v>
      </c>
      <c r="BJ17" s="11">
        <f t="shared" si="19"/>
        <v>85.833333333333329</v>
      </c>
      <c r="BK17" s="11">
        <f t="shared" si="19"/>
        <v>85.833333333333329</v>
      </c>
      <c r="BL17" s="11">
        <f t="shared" si="19"/>
        <v>85.833333333333329</v>
      </c>
      <c r="BM17" s="11">
        <f t="shared" si="19"/>
        <v>85.833333333333329</v>
      </c>
      <c r="BN17" s="11">
        <f t="shared" si="19"/>
        <v>85.833333333333329</v>
      </c>
      <c r="BO17" s="11">
        <f t="shared" si="19"/>
        <v>85.833333333333329</v>
      </c>
      <c r="BP17" s="11">
        <f t="shared" si="19"/>
        <v>85.833333333333329</v>
      </c>
      <c r="BQ17" s="11">
        <f t="shared" si="19"/>
        <v>85.833333333333329</v>
      </c>
      <c r="BR17" s="11">
        <f t="shared" si="19"/>
        <v>85.833333333333329</v>
      </c>
    </row>
    <row r="18" spans="1:76" x14ac:dyDescent="0.3">
      <c r="A18">
        <f t="shared" si="2"/>
        <v>15</v>
      </c>
      <c r="B18" s="14">
        <v>44470</v>
      </c>
      <c r="C18" t="s">
        <v>201</v>
      </c>
      <c r="D18" t="s">
        <v>117</v>
      </c>
      <c r="E18" s="9">
        <v>2575</v>
      </c>
      <c r="F18" s="9">
        <f t="shared" si="16"/>
        <v>42.916666666666664</v>
      </c>
      <c r="G18" s="14">
        <v>46295</v>
      </c>
      <c r="H18" s="11">
        <f t="shared" si="4"/>
        <v>0</v>
      </c>
      <c r="K18" s="11">
        <f t="shared" ref="K18:BR18" si="20">$F$18</f>
        <v>42.916666666666664</v>
      </c>
      <c r="L18" s="11">
        <f t="shared" si="20"/>
        <v>42.916666666666664</v>
      </c>
      <c r="M18" s="11">
        <f t="shared" si="20"/>
        <v>42.916666666666664</v>
      </c>
      <c r="N18" s="11">
        <f t="shared" si="20"/>
        <v>42.916666666666664</v>
      </c>
      <c r="O18" s="11">
        <f t="shared" si="20"/>
        <v>42.916666666666664</v>
      </c>
      <c r="P18" s="11">
        <f t="shared" si="20"/>
        <v>42.916666666666664</v>
      </c>
      <c r="Q18" s="11">
        <f t="shared" si="20"/>
        <v>42.916666666666664</v>
      </c>
      <c r="R18" s="11">
        <f t="shared" si="20"/>
        <v>42.916666666666664</v>
      </c>
      <c r="S18" s="11">
        <f t="shared" si="20"/>
        <v>42.916666666666664</v>
      </c>
      <c r="T18" s="11">
        <f t="shared" si="20"/>
        <v>42.916666666666664</v>
      </c>
      <c r="U18" s="11">
        <f t="shared" si="20"/>
        <v>42.916666666666664</v>
      </c>
      <c r="V18" s="11">
        <f t="shared" si="20"/>
        <v>42.916666666666664</v>
      </c>
      <c r="W18" s="11">
        <f t="shared" si="20"/>
        <v>42.916666666666664</v>
      </c>
      <c r="X18" s="11">
        <f t="shared" si="20"/>
        <v>42.916666666666664</v>
      </c>
      <c r="Y18" s="11">
        <f t="shared" si="20"/>
        <v>42.916666666666664</v>
      </c>
      <c r="Z18" s="11">
        <f t="shared" si="20"/>
        <v>42.916666666666664</v>
      </c>
      <c r="AA18" s="11">
        <f t="shared" si="20"/>
        <v>42.916666666666664</v>
      </c>
      <c r="AB18" s="11">
        <f t="shared" si="20"/>
        <v>42.916666666666664</v>
      </c>
      <c r="AC18" s="11">
        <f t="shared" si="20"/>
        <v>42.916666666666664</v>
      </c>
      <c r="AD18" s="11">
        <f t="shared" si="20"/>
        <v>42.916666666666664</v>
      </c>
      <c r="AE18" s="11">
        <f t="shared" si="20"/>
        <v>42.916666666666664</v>
      </c>
      <c r="AF18" s="11">
        <f t="shared" si="20"/>
        <v>42.916666666666664</v>
      </c>
      <c r="AG18" s="11">
        <f t="shared" si="20"/>
        <v>42.916666666666664</v>
      </c>
      <c r="AH18" s="11">
        <f t="shared" si="20"/>
        <v>42.916666666666664</v>
      </c>
      <c r="AI18" s="11">
        <f t="shared" si="20"/>
        <v>42.916666666666664</v>
      </c>
      <c r="AJ18" s="11">
        <f t="shared" si="20"/>
        <v>42.916666666666664</v>
      </c>
      <c r="AK18" s="11">
        <f t="shared" si="20"/>
        <v>42.916666666666664</v>
      </c>
      <c r="AL18" s="11">
        <f t="shared" si="20"/>
        <v>42.916666666666664</v>
      </c>
      <c r="AM18" s="11">
        <f t="shared" si="20"/>
        <v>42.916666666666664</v>
      </c>
      <c r="AN18" s="11">
        <f t="shared" si="20"/>
        <v>42.916666666666664</v>
      </c>
      <c r="AO18" s="11">
        <f t="shared" si="20"/>
        <v>42.916666666666664</v>
      </c>
      <c r="AP18" s="11">
        <f t="shared" si="20"/>
        <v>42.916666666666664</v>
      </c>
      <c r="AQ18" s="11">
        <f t="shared" si="20"/>
        <v>42.916666666666664</v>
      </c>
      <c r="AR18" s="11">
        <f t="shared" si="20"/>
        <v>42.916666666666664</v>
      </c>
      <c r="AS18" s="11">
        <f t="shared" si="20"/>
        <v>42.916666666666664</v>
      </c>
      <c r="AT18" s="11">
        <f t="shared" si="20"/>
        <v>42.916666666666664</v>
      </c>
      <c r="AU18" s="11">
        <f t="shared" si="20"/>
        <v>42.916666666666664</v>
      </c>
      <c r="AV18" s="11">
        <f t="shared" si="20"/>
        <v>42.916666666666664</v>
      </c>
      <c r="AW18" s="208">
        <f t="shared" si="20"/>
        <v>42.916666666666664</v>
      </c>
      <c r="AX18" s="208">
        <f t="shared" si="20"/>
        <v>42.916666666666664</v>
      </c>
      <c r="AY18" s="208">
        <f t="shared" si="20"/>
        <v>42.916666666666664</v>
      </c>
      <c r="AZ18" s="208">
        <f t="shared" si="20"/>
        <v>42.916666666666664</v>
      </c>
      <c r="BA18" s="208">
        <f t="shared" si="20"/>
        <v>42.916666666666664</v>
      </c>
      <c r="BB18" s="208">
        <f t="shared" si="20"/>
        <v>42.916666666666664</v>
      </c>
      <c r="BC18" s="208">
        <f t="shared" si="20"/>
        <v>42.916666666666664</v>
      </c>
      <c r="BD18" s="208">
        <f t="shared" si="20"/>
        <v>42.916666666666664</v>
      </c>
      <c r="BE18" s="208">
        <f t="shared" si="20"/>
        <v>42.916666666666664</v>
      </c>
      <c r="BF18" s="208">
        <f t="shared" si="20"/>
        <v>42.916666666666664</v>
      </c>
      <c r="BG18" s="208">
        <f t="shared" si="20"/>
        <v>42.916666666666664</v>
      </c>
      <c r="BH18" s="208">
        <f t="shared" si="20"/>
        <v>42.916666666666664</v>
      </c>
      <c r="BI18" s="208">
        <f t="shared" si="20"/>
        <v>42.916666666666664</v>
      </c>
      <c r="BJ18" s="11">
        <f t="shared" si="20"/>
        <v>42.916666666666664</v>
      </c>
      <c r="BK18" s="11">
        <f t="shared" si="20"/>
        <v>42.916666666666664</v>
      </c>
      <c r="BL18" s="11">
        <f t="shared" si="20"/>
        <v>42.916666666666664</v>
      </c>
      <c r="BM18" s="11">
        <f t="shared" si="20"/>
        <v>42.916666666666664</v>
      </c>
      <c r="BN18" s="11">
        <f t="shared" si="20"/>
        <v>42.916666666666664</v>
      </c>
      <c r="BO18" s="11">
        <f t="shared" si="20"/>
        <v>42.916666666666664</v>
      </c>
      <c r="BP18" s="11">
        <f t="shared" si="20"/>
        <v>42.916666666666664</v>
      </c>
      <c r="BQ18" s="11">
        <f t="shared" si="20"/>
        <v>42.916666666666664</v>
      </c>
      <c r="BR18" s="11">
        <f t="shared" si="20"/>
        <v>42.916666666666664</v>
      </c>
    </row>
    <row r="19" spans="1:76" x14ac:dyDescent="0.3">
      <c r="A19">
        <f t="shared" si="2"/>
        <v>16</v>
      </c>
      <c r="B19" s="14">
        <v>44484</v>
      </c>
      <c r="C19" t="s">
        <v>202</v>
      </c>
      <c r="D19" t="s">
        <v>117</v>
      </c>
      <c r="E19" s="9">
        <v>15000</v>
      </c>
      <c r="F19" s="9">
        <f t="shared" si="16"/>
        <v>250</v>
      </c>
      <c r="G19" s="14">
        <v>46295</v>
      </c>
      <c r="H19" s="11">
        <f t="shared" si="4"/>
        <v>0</v>
      </c>
      <c r="K19" s="11">
        <f t="shared" ref="K19:BR19" si="21">$F$19</f>
        <v>250</v>
      </c>
      <c r="L19" s="11">
        <f t="shared" si="21"/>
        <v>250</v>
      </c>
      <c r="M19" s="11">
        <f t="shared" si="21"/>
        <v>250</v>
      </c>
      <c r="N19" s="11">
        <f t="shared" si="21"/>
        <v>250</v>
      </c>
      <c r="O19" s="11">
        <f t="shared" si="21"/>
        <v>250</v>
      </c>
      <c r="P19" s="11">
        <f t="shared" si="21"/>
        <v>250</v>
      </c>
      <c r="Q19" s="11">
        <f t="shared" si="21"/>
        <v>250</v>
      </c>
      <c r="R19" s="11">
        <f t="shared" si="21"/>
        <v>250</v>
      </c>
      <c r="S19" s="11">
        <f t="shared" si="21"/>
        <v>250</v>
      </c>
      <c r="T19" s="11">
        <f t="shared" si="21"/>
        <v>250</v>
      </c>
      <c r="U19" s="11">
        <f t="shared" si="21"/>
        <v>250</v>
      </c>
      <c r="V19" s="11">
        <f t="shared" si="21"/>
        <v>250</v>
      </c>
      <c r="W19" s="11">
        <f t="shared" si="21"/>
        <v>250</v>
      </c>
      <c r="X19" s="11">
        <f t="shared" si="21"/>
        <v>250</v>
      </c>
      <c r="Y19" s="11">
        <f t="shared" si="21"/>
        <v>250</v>
      </c>
      <c r="Z19" s="11">
        <f t="shared" si="21"/>
        <v>250</v>
      </c>
      <c r="AA19" s="11">
        <f t="shared" si="21"/>
        <v>250</v>
      </c>
      <c r="AB19" s="11">
        <f t="shared" si="21"/>
        <v>250</v>
      </c>
      <c r="AC19" s="11">
        <f t="shared" si="21"/>
        <v>250</v>
      </c>
      <c r="AD19" s="11">
        <f t="shared" si="21"/>
        <v>250</v>
      </c>
      <c r="AE19" s="11">
        <f t="shared" si="21"/>
        <v>250</v>
      </c>
      <c r="AF19" s="11">
        <f t="shared" si="21"/>
        <v>250</v>
      </c>
      <c r="AG19" s="11">
        <f t="shared" si="21"/>
        <v>250</v>
      </c>
      <c r="AH19" s="11">
        <f t="shared" si="21"/>
        <v>250</v>
      </c>
      <c r="AI19" s="11">
        <f t="shared" si="21"/>
        <v>250</v>
      </c>
      <c r="AJ19" s="11">
        <f t="shared" si="21"/>
        <v>250</v>
      </c>
      <c r="AK19" s="11">
        <f t="shared" si="21"/>
        <v>250</v>
      </c>
      <c r="AL19" s="11">
        <f t="shared" si="21"/>
        <v>250</v>
      </c>
      <c r="AM19" s="11">
        <f t="shared" si="21"/>
        <v>250</v>
      </c>
      <c r="AN19" s="11">
        <f t="shared" si="21"/>
        <v>250</v>
      </c>
      <c r="AO19" s="11">
        <f t="shared" si="21"/>
        <v>250</v>
      </c>
      <c r="AP19" s="11">
        <f t="shared" si="21"/>
        <v>250</v>
      </c>
      <c r="AQ19" s="11">
        <f t="shared" si="21"/>
        <v>250</v>
      </c>
      <c r="AR19" s="11">
        <f t="shared" si="21"/>
        <v>250</v>
      </c>
      <c r="AS19" s="11">
        <f t="shared" si="21"/>
        <v>250</v>
      </c>
      <c r="AT19" s="11">
        <f t="shared" si="21"/>
        <v>250</v>
      </c>
      <c r="AU19" s="11">
        <f t="shared" si="21"/>
        <v>250</v>
      </c>
      <c r="AV19" s="11">
        <f t="shared" si="21"/>
        <v>250</v>
      </c>
      <c r="AW19" s="208">
        <f t="shared" si="21"/>
        <v>250</v>
      </c>
      <c r="AX19" s="208">
        <f t="shared" si="21"/>
        <v>250</v>
      </c>
      <c r="AY19" s="208">
        <f t="shared" si="21"/>
        <v>250</v>
      </c>
      <c r="AZ19" s="208">
        <f t="shared" si="21"/>
        <v>250</v>
      </c>
      <c r="BA19" s="208">
        <f t="shared" si="21"/>
        <v>250</v>
      </c>
      <c r="BB19" s="208">
        <f t="shared" si="21"/>
        <v>250</v>
      </c>
      <c r="BC19" s="208">
        <f t="shared" si="21"/>
        <v>250</v>
      </c>
      <c r="BD19" s="208">
        <f t="shared" si="21"/>
        <v>250</v>
      </c>
      <c r="BE19" s="208">
        <f t="shared" si="21"/>
        <v>250</v>
      </c>
      <c r="BF19" s="208">
        <f t="shared" si="21"/>
        <v>250</v>
      </c>
      <c r="BG19" s="208">
        <f t="shared" si="21"/>
        <v>250</v>
      </c>
      <c r="BH19" s="208">
        <f t="shared" si="21"/>
        <v>250</v>
      </c>
      <c r="BI19" s="208">
        <f t="shared" si="21"/>
        <v>250</v>
      </c>
      <c r="BJ19" s="11">
        <f t="shared" si="21"/>
        <v>250</v>
      </c>
      <c r="BK19" s="11">
        <f t="shared" si="21"/>
        <v>250</v>
      </c>
      <c r="BL19" s="11">
        <f t="shared" si="21"/>
        <v>250</v>
      </c>
      <c r="BM19" s="11">
        <f t="shared" si="21"/>
        <v>250</v>
      </c>
      <c r="BN19" s="11">
        <f t="shared" si="21"/>
        <v>250</v>
      </c>
      <c r="BO19" s="11">
        <f t="shared" si="21"/>
        <v>250</v>
      </c>
      <c r="BP19" s="11">
        <f t="shared" si="21"/>
        <v>250</v>
      </c>
      <c r="BQ19" s="11">
        <f t="shared" si="21"/>
        <v>250</v>
      </c>
      <c r="BR19" s="11">
        <f t="shared" si="21"/>
        <v>250</v>
      </c>
    </row>
    <row r="20" spans="1:76" x14ac:dyDescent="0.3">
      <c r="A20">
        <f t="shared" si="2"/>
        <v>17</v>
      </c>
      <c r="B20" s="14">
        <v>44518</v>
      </c>
      <c r="C20" t="s">
        <v>203</v>
      </c>
      <c r="D20" t="s">
        <v>117</v>
      </c>
      <c r="E20" s="9">
        <v>5000</v>
      </c>
      <c r="F20" s="9">
        <f t="shared" si="16"/>
        <v>83.333333333333329</v>
      </c>
      <c r="G20" s="14">
        <v>46326</v>
      </c>
      <c r="H20" s="11">
        <f t="shared" si="4"/>
        <v>0</v>
      </c>
      <c r="L20" s="11">
        <f t="shared" ref="L20:BS20" si="22">$F$20</f>
        <v>83.333333333333329</v>
      </c>
      <c r="M20" s="11">
        <f t="shared" si="22"/>
        <v>83.333333333333329</v>
      </c>
      <c r="N20" s="11">
        <f t="shared" si="22"/>
        <v>83.333333333333329</v>
      </c>
      <c r="O20" s="11">
        <f t="shared" si="22"/>
        <v>83.333333333333329</v>
      </c>
      <c r="P20" s="11">
        <f t="shared" si="22"/>
        <v>83.333333333333329</v>
      </c>
      <c r="Q20" s="11">
        <f t="shared" si="22"/>
        <v>83.333333333333329</v>
      </c>
      <c r="R20" s="11">
        <f t="shared" si="22"/>
        <v>83.333333333333329</v>
      </c>
      <c r="S20" s="11">
        <f t="shared" si="22"/>
        <v>83.333333333333329</v>
      </c>
      <c r="T20" s="11">
        <f t="shared" si="22"/>
        <v>83.333333333333329</v>
      </c>
      <c r="U20" s="11">
        <f t="shared" si="22"/>
        <v>83.333333333333329</v>
      </c>
      <c r="V20" s="11">
        <f t="shared" si="22"/>
        <v>83.333333333333329</v>
      </c>
      <c r="W20" s="11">
        <f t="shared" si="22"/>
        <v>83.333333333333329</v>
      </c>
      <c r="X20" s="11">
        <f t="shared" si="22"/>
        <v>83.333333333333329</v>
      </c>
      <c r="Y20" s="11">
        <f t="shared" si="22"/>
        <v>83.333333333333329</v>
      </c>
      <c r="Z20" s="11">
        <f t="shared" si="22"/>
        <v>83.333333333333329</v>
      </c>
      <c r="AA20" s="11">
        <f t="shared" si="22"/>
        <v>83.333333333333329</v>
      </c>
      <c r="AB20" s="11">
        <f t="shared" si="22"/>
        <v>83.333333333333329</v>
      </c>
      <c r="AC20" s="11">
        <f t="shared" si="22"/>
        <v>83.333333333333329</v>
      </c>
      <c r="AD20" s="11">
        <f t="shared" si="22"/>
        <v>83.333333333333329</v>
      </c>
      <c r="AE20" s="11">
        <f t="shared" si="22"/>
        <v>83.333333333333329</v>
      </c>
      <c r="AF20" s="11">
        <f t="shared" si="22"/>
        <v>83.333333333333329</v>
      </c>
      <c r="AG20" s="11">
        <f t="shared" si="22"/>
        <v>83.333333333333329</v>
      </c>
      <c r="AH20" s="11">
        <f t="shared" si="22"/>
        <v>83.333333333333329</v>
      </c>
      <c r="AI20" s="11">
        <f t="shared" si="22"/>
        <v>83.333333333333329</v>
      </c>
      <c r="AJ20" s="11">
        <f t="shared" si="22"/>
        <v>83.333333333333329</v>
      </c>
      <c r="AK20" s="11">
        <f t="shared" si="22"/>
        <v>83.333333333333329</v>
      </c>
      <c r="AL20" s="11">
        <f t="shared" si="22"/>
        <v>83.333333333333329</v>
      </c>
      <c r="AM20" s="11">
        <f t="shared" si="22"/>
        <v>83.333333333333329</v>
      </c>
      <c r="AN20" s="11">
        <f t="shared" si="22"/>
        <v>83.333333333333329</v>
      </c>
      <c r="AO20" s="11">
        <f t="shared" si="22"/>
        <v>83.333333333333329</v>
      </c>
      <c r="AP20" s="11">
        <f t="shared" si="22"/>
        <v>83.333333333333329</v>
      </c>
      <c r="AQ20" s="11">
        <f t="shared" si="22"/>
        <v>83.333333333333329</v>
      </c>
      <c r="AR20" s="11">
        <f t="shared" si="22"/>
        <v>83.333333333333329</v>
      </c>
      <c r="AS20" s="11">
        <f t="shared" si="22"/>
        <v>83.333333333333329</v>
      </c>
      <c r="AT20" s="11">
        <f t="shared" si="22"/>
        <v>83.333333333333329</v>
      </c>
      <c r="AU20" s="11">
        <f t="shared" si="22"/>
        <v>83.333333333333329</v>
      </c>
      <c r="AV20" s="11">
        <f t="shared" si="22"/>
        <v>83.333333333333329</v>
      </c>
      <c r="AW20" s="208">
        <f t="shared" si="22"/>
        <v>83.333333333333329</v>
      </c>
      <c r="AX20" s="208">
        <f t="shared" si="22"/>
        <v>83.333333333333329</v>
      </c>
      <c r="AY20" s="208">
        <f t="shared" si="22"/>
        <v>83.333333333333329</v>
      </c>
      <c r="AZ20" s="208">
        <f t="shared" si="22"/>
        <v>83.333333333333329</v>
      </c>
      <c r="BA20" s="208">
        <f t="shared" si="22"/>
        <v>83.333333333333329</v>
      </c>
      <c r="BB20" s="208">
        <f t="shared" si="22"/>
        <v>83.333333333333329</v>
      </c>
      <c r="BC20" s="208">
        <f t="shared" si="22"/>
        <v>83.333333333333329</v>
      </c>
      <c r="BD20" s="208">
        <f t="shared" si="22"/>
        <v>83.333333333333329</v>
      </c>
      <c r="BE20" s="208">
        <f t="shared" si="22"/>
        <v>83.333333333333329</v>
      </c>
      <c r="BF20" s="208">
        <f t="shared" si="22"/>
        <v>83.333333333333329</v>
      </c>
      <c r="BG20" s="208">
        <f t="shared" si="22"/>
        <v>83.333333333333329</v>
      </c>
      <c r="BH20" s="208">
        <f t="shared" si="22"/>
        <v>83.333333333333329</v>
      </c>
      <c r="BI20" s="208">
        <f t="shared" si="22"/>
        <v>83.333333333333329</v>
      </c>
      <c r="BJ20" s="11">
        <f t="shared" si="22"/>
        <v>83.333333333333329</v>
      </c>
      <c r="BK20" s="11">
        <f t="shared" si="22"/>
        <v>83.333333333333329</v>
      </c>
      <c r="BL20" s="11">
        <f t="shared" si="22"/>
        <v>83.333333333333329</v>
      </c>
      <c r="BM20" s="11">
        <f t="shared" si="22"/>
        <v>83.333333333333329</v>
      </c>
      <c r="BN20" s="11">
        <f t="shared" si="22"/>
        <v>83.333333333333329</v>
      </c>
      <c r="BO20" s="11">
        <f t="shared" si="22"/>
        <v>83.333333333333329</v>
      </c>
      <c r="BP20" s="11">
        <f t="shared" si="22"/>
        <v>83.333333333333329</v>
      </c>
      <c r="BQ20" s="11">
        <f t="shared" si="22"/>
        <v>83.333333333333329</v>
      </c>
      <c r="BR20" s="11">
        <f t="shared" si="22"/>
        <v>83.333333333333329</v>
      </c>
      <c r="BS20" s="11">
        <f t="shared" si="22"/>
        <v>83.333333333333329</v>
      </c>
    </row>
    <row r="21" spans="1:76" x14ac:dyDescent="0.3">
      <c r="A21">
        <f t="shared" si="2"/>
        <v>18</v>
      </c>
      <c r="B21" s="14">
        <v>44531</v>
      </c>
      <c r="C21" t="s">
        <v>204</v>
      </c>
      <c r="D21" t="s">
        <v>117</v>
      </c>
      <c r="E21" s="9">
        <v>6800</v>
      </c>
      <c r="F21" s="9">
        <f t="shared" si="16"/>
        <v>113.33333333333333</v>
      </c>
      <c r="G21" s="14">
        <v>46356</v>
      </c>
      <c r="H21" s="11">
        <f t="shared" si="4"/>
        <v>0</v>
      </c>
      <c r="M21" s="11">
        <f t="shared" ref="M21:BT21" si="23">$F$21</f>
        <v>113.33333333333333</v>
      </c>
      <c r="N21" s="11">
        <f t="shared" si="23"/>
        <v>113.33333333333333</v>
      </c>
      <c r="O21" s="11">
        <f t="shared" si="23"/>
        <v>113.33333333333333</v>
      </c>
      <c r="P21" s="11">
        <f t="shared" si="23"/>
        <v>113.33333333333333</v>
      </c>
      <c r="Q21" s="11">
        <f t="shared" si="23"/>
        <v>113.33333333333333</v>
      </c>
      <c r="R21" s="11">
        <f t="shared" si="23"/>
        <v>113.33333333333333</v>
      </c>
      <c r="S21" s="11">
        <f t="shared" si="23"/>
        <v>113.33333333333333</v>
      </c>
      <c r="T21" s="11">
        <f t="shared" si="23"/>
        <v>113.33333333333333</v>
      </c>
      <c r="U21" s="11">
        <f t="shared" si="23"/>
        <v>113.33333333333333</v>
      </c>
      <c r="V21" s="11">
        <f t="shared" si="23"/>
        <v>113.33333333333333</v>
      </c>
      <c r="W21" s="11">
        <f t="shared" si="23"/>
        <v>113.33333333333333</v>
      </c>
      <c r="X21" s="11">
        <f t="shared" si="23"/>
        <v>113.33333333333333</v>
      </c>
      <c r="Y21" s="11">
        <f t="shared" si="23"/>
        <v>113.33333333333333</v>
      </c>
      <c r="Z21" s="11">
        <f t="shared" si="23"/>
        <v>113.33333333333333</v>
      </c>
      <c r="AA21" s="11">
        <f t="shared" si="23"/>
        <v>113.33333333333333</v>
      </c>
      <c r="AB21" s="11">
        <f t="shared" si="23"/>
        <v>113.33333333333333</v>
      </c>
      <c r="AC21" s="11">
        <f t="shared" si="23"/>
        <v>113.33333333333333</v>
      </c>
      <c r="AD21" s="11">
        <f t="shared" si="23"/>
        <v>113.33333333333333</v>
      </c>
      <c r="AE21" s="11">
        <f t="shared" si="23"/>
        <v>113.33333333333333</v>
      </c>
      <c r="AF21" s="11">
        <f t="shared" si="23"/>
        <v>113.33333333333333</v>
      </c>
      <c r="AG21" s="11">
        <f t="shared" si="23"/>
        <v>113.33333333333333</v>
      </c>
      <c r="AH21" s="11">
        <f t="shared" si="23"/>
        <v>113.33333333333333</v>
      </c>
      <c r="AI21" s="11">
        <f t="shared" si="23"/>
        <v>113.33333333333333</v>
      </c>
      <c r="AJ21" s="11">
        <f t="shared" si="23"/>
        <v>113.33333333333333</v>
      </c>
      <c r="AK21" s="11">
        <f t="shared" si="23"/>
        <v>113.33333333333333</v>
      </c>
      <c r="AL21" s="11">
        <f t="shared" si="23"/>
        <v>113.33333333333333</v>
      </c>
      <c r="AM21" s="11">
        <f t="shared" si="23"/>
        <v>113.33333333333333</v>
      </c>
      <c r="AN21" s="11">
        <f t="shared" si="23"/>
        <v>113.33333333333333</v>
      </c>
      <c r="AO21" s="11">
        <f t="shared" si="23"/>
        <v>113.33333333333333</v>
      </c>
      <c r="AP21" s="11">
        <f t="shared" si="23"/>
        <v>113.33333333333333</v>
      </c>
      <c r="AQ21" s="11">
        <f t="shared" si="23"/>
        <v>113.33333333333333</v>
      </c>
      <c r="AR21" s="11">
        <f t="shared" si="23"/>
        <v>113.33333333333333</v>
      </c>
      <c r="AS21" s="11">
        <f t="shared" si="23"/>
        <v>113.33333333333333</v>
      </c>
      <c r="AT21" s="11">
        <f t="shared" si="23"/>
        <v>113.33333333333333</v>
      </c>
      <c r="AU21" s="11">
        <f t="shared" si="23"/>
        <v>113.33333333333333</v>
      </c>
      <c r="AV21" s="11">
        <f t="shared" si="23"/>
        <v>113.33333333333333</v>
      </c>
      <c r="AW21" s="208">
        <f t="shared" si="23"/>
        <v>113.33333333333333</v>
      </c>
      <c r="AX21" s="208">
        <f t="shared" si="23"/>
        <v>113.33333333333333</v>
      </c>
      <c r="AY21" s="208">
        <f t="shared" si="23"/>
        <v>113.33333333333333</v>
      </c>
      <c r="AZ21" s="208">
        <f t="shared" si="23"/>
        <v>113.33333333333333</v>
      </c>
      <c r="BA21" s="208">
        <f t="shared" si="23"/>
        <v>113.33333333333333</v>
      </c>
      <c r="BB21" s="208">
        <f t="shared" si="23"/>
        <v>113.33333333333333</v>
      </c>
      <c r="BC21" s="208">
        <f t="shared" si="23"/>
        <v>113.33333333333333</v>
      </c>
      <c r="BD21" s="208">
        <f t="shared" si="23"/>
        <v>113.33333333333333</v>
      </c>
      <c r="BE21" s="208">
        <f t="shared" si="23"/>
        <v>113.33333333333333</v>
      </c>
      <c r="BF21" s="208">
        <f t="shared" si="23"/>
        <v>113.33333333333333</v>
      </c>
      <c r="BG21" s="208">
        <f t="shared" si="23"/>
        <v>113.33333333333333</v>
      </c>
      <c r="BH21" s="208">
        <f t="shared" si="23"/>
        <v>113.33333333333333</v>
      </c>
      <c r="BI21" s="208">
        <f t="shared" si="23"/>
        <v>113.33333333333333</v>
      </c>
      <c r="BJ21" s="11">
        <f t="shared" si="23"/>
        <v>113.33333333333333</v>
      </c>
      <c r="BK21" s="11">
        <f t="shared" si="23"/>
        <v>113.33333333333333</v>
      </c>
      <c r="BL21" s="11">
        <f t="shared" si="23"/>
        <v>113.33333333333333</v>
      </c>
      <c r="BM21" s="11">
        <f t="shared" si="23"/>
        <v>113.33333333333333</v>
      </c>
      <c r="BN21" s="11">
        <f t="shared" si="23"/>
        <v>113.33333333333333</v>
      </c>
      <c r="BO21" s="11">
        <f t="shared" si="23"/>
        <v>113.33333333333333</v>
      </c>
      <c r="BP21" s="11">
        <f t="shared" si="23"/>
        <v>113.33333333333333</v>
      </c>
      <c r="BQ21" s="11">
        <f t="shared" si="23"/>
        <v>113.33333333333333</v>
      </c>
      <c r="BR21" s="11">
        <f t="shared" si="23"/>
        <v>113.33333333333333</v>
      </c>
      <c r="BS21" s="11">
        <f t="shared" si="23"/>
        <v>113.33333333333333</v>
      </c>
      <c r="BT21" s="11">
        <f t="shared" si="23"/>
        <v>113.33333333333333</v>
      </c>
    </row>
    <row r="22" spans="1:76" x14ac:dyDescent="0.3">
      <c r="A22">
        <f t="shared" si="2"/>
        <v>19</v>
      </c>
      <c r="B22" s="14">
        <v>44585</v>
      </c>
      <c r="C22" t="s">
        <v>205</v>
      </c>
      <c r="D22" t="s">
        <v>117</v>
      </c>
      <c r="E22" s="9">
        <v>15000</v>
      </c>
      <c r="F22" s="9">
        <f t="shared" si="16"/>
        <v>250</v>
      </c>
      <c r="G22" s="14">
        <v>46387</v>
      </c>
      <c r="H22" s="11">
        <f t="shared" si="4"/>
        <v>0</v>
      </c>
      <c r="N22" s="11">
        <f t="shared" ref="N22:BU22" si="24">$F$22</f>
        <v>250</v>
      </c>
      <c r="O22" s="11">
        <f t="shared" si="24"/>
        <v>250</v>
      </c>
      <c r="P22" s="11">
        <f t="shared" si="24"/>
        <v>250</v>
      </c>
      <c r="Q22" s="11">
        <f t="shared" si="24"/>
        <v>250</v>
      </c>
      <c r="R22" s="11">
        <f t="shared" si="24"/>
        <v>250</v>
      </c>
      <c r="S22" s="11">
        <f t="shared" si="24"/>
        <v>250</v>
      </c>
      <c r="T22" s="11">
        <f t="shared" si="24"/>
        <v>250</v>
      </c>
      <c r="U22" s="11">
        <f t="shared" si="24"/>
        <v>250</v>
      </c>
      <c r="V22" s="11">
        <f t="shared" si="24"/>
        <v>250</v>
      </c>
      <c r="W22" s="11">
        <f t="shared" si="24"/>
        <v>250</v>
      </c>
      <c r="X22" s="11">
        <f t="shared" si="24"/>
        <v>250</v>
      </c>
      <c r="Y22" s="11">
        <f t="shared" si="24"/>
        <v>250</v>
      </c>
      <c r="Z22" s="11">
        <f t="shared" si="24"/>
        <v>250</v>
      </c>
      <c r="AA22" s="11">
        <f t="shared" si="24"/>
        <v>250</v>
      </c>
      <c r="AB22" s="11">
        <f t="shared" si="24"/>
        <v>250</v>
      </c>
      <c r="AC22" s="11">
        <f t="shared" si="24"/>
        <v>250</v>
      </c>
      <c r="AD22" s="11">
        <f t="shared" si="24"/>
        <v>250</v>
      </c>
      <c r="AE22" s="11">
        <f t="shared" si="24"/>
        <v>250</v>
      </c>
      <c r="AF22" s="11">
        <f t="shared" si="24"/>
        <v>250</v>
      </c>
      <c r="AG22" s="11">
        <f t="shared" si="24"/>
        <v>250</v>
      </c>
      <c r="AH22" s="11">
        <f t="shared" si="24"/>
        <v>250</v>
      </c>
      <c r="AI22" s="11">
        <f t="shared" si="24"/>
        <v>250</v>
      </c>
      <c r="AJ22" s="11">
        <f t="shared" si="24"/>
        <v>250</v>
      </c>
      <c r="AK22" s="11">
        <f t="shared" si="24"/>
        <v>250</v>
      </c>
      <c r="AL22" s="11">
        <f t="shared" si="24"/>
        <v>250</v>
      </c>
      <c r="AM22" s="11">
        <f t="shared" si="24"/>
        <v>250</v>
      </c>
      <c r="AN22" s="11">
        <f t="shared" si="24"/>
        <v>250</v>
      </c>
      <c r="AO22" s="11">
        <f t="shared" si="24"/>
        <v>250</v>
      </c>
      <c r="AP22" s="11">
        <f t="shared" si="24"/>
        <v>250</v>
      </c>
      <c r="AQ22" s="11">
        <f t="shared" si="24"/>
        <v>250</v>
      </c>
      <c r="AR22" s="11">
        <f t="shared" si="24"/>
        <v>250</v>
      </c>
      <c r="AS22" s="11">
        <f t="shared" si="24"/>
        <v>250</v>
      </c>
      <c r="AT22" s="11">
        <f t="shared" si="24"/>
        <v>250</v>
      </c>
      <c r="AU22" s="11">
        <f t="shared" si="24"/>
        <v>250</v>
      </c>
      <c r="AV22" s="11">
        <f t="shared" si="24"/>
        <v>250</v>
      </c>
      <c r="AW22" s="208">
        <f t="shared" si="24"/>
        <v>250</v>
      </c>
      <c r="AX22" s="208">
        <f t="shared" si="24"/>
        <v>250</v>
      </c>
      <c r="AY22" s="208">
        <f t="shared" si="24"/>
        <v>250</v>
      </c>
      <c r="AZ22" s="208">
        <f t="shared" si="24"/>
        <v>250</v>
      </c>
      <c r="BA22" s="208">
        <f t="shared" si="24"/>
        <v>250</v>
      </c>
      <c r="BB22" s="208">
        <f t="shared" si="24"/>
        <v>250</v>
      </c>
      <c r="BC22" s="208">
        <f t="shared" si="24"/>
        <v>250</v>
      </c>
      <c r="BD22" s="208">
        <f t="shared" si="24"/>
        <v>250</v>
      </c>
      <c r="BE22" s="208">
        <f t="shared" si="24"/>
        <v>250</v>
      </c>
      <c r="BF22" s="208">
        <f t="shared" si="24"/>
        <v>250</v>
      </c>
      <c r="BG22" s="208">
        <f t="shared" si="24"/>
        <v>250</v>
      </c>
      <c r="BH22" s="208">
        <f t="shared" si="24"/>
        <v>250</v>
      </c>
      <c r="BI22" s="208">
        <f t="shared" si="24"/>
        <v>250</v>
      </c>
      <c r="BJ22" s="11">
        <f t="shared" si="24"/>
        <v>250</v>
      </c>
      <c r="BK22" s="11">
        <f t="shared" si="24"/>
        <v>250</v>
      </c>
      <c r="BL22" s="11">
        <f t="shared" si="24"/>
        <v>250</v>
      </c>
      <c r="BM22" s="11">
        <f t="shared" si="24"/>
        <v>250</v>
      </c>
      <c r="BN22" s="11">
        <f t="shared" si="24"/>
        <v>250</v>
      </c>
      <c r="BO22" s="11">
        <f t="shared" si="24"/>
        <v>250</v>
      </c>
      <c r="BP22" s="11">
        <f t="shared" si="24"/>
        <v>250</v>
      </c>
      <c r="BQ22" s="11">
        <f t="shared" si="24"/>
        <v>250</v>
      </c>
      <c r="BR22" s="11">
        <f t="shared" si="24"/>
        <v>250</v>
      </c>
      <c r="BS22" s="11">
        <f t="shared" si="24"/>
        <v>250</v>
      </c>
      <c r="BT22" s="11">
        <f t="shared" si="24"/>
        <v>250</v>
      </c>
      <c r="BU22" s="11">
        <f t="shared" si="24"/>
        <v>250</v>
      </c>
    </row>
    <row r="23" spans="1:76" x14ac:dyDescent="0.3">
      <c r="A23">
        <f t="shared" si="2"/>
        <v>20</v>
      </c>
      <c r="B23" s="14">
        <v>44621</v>
      </c>
      <c r="C23" s="244" t="s">
        <v>206</v>
      </c>
      <c r="D23" t="s">
        <v>117</v>
      </c>
      <c r="E23" s="212">
        <v>15000</v>
      </c>
      <c r="F23" s="9">
        <f t="shared" si="16"/>
        <v>250</v>
      </c>
      <c r="G23" s="14">
        <v>46418</v>
      </c>
      <c r="H23" s="11">
        <f t="shared" si="4"/>
        <v>0</v>
      </c>
      <c r="O23" s="11">
        <f t="shared" ref="O23:BV23" si="25">$F$23</f>
        <v>250</v>
      </c>
      <c r="P23" s="11">
        <f t="shared" si="25"/>
        <v>250</v>
      </c>
      <c r="Q23" s="11">
        <f t="shared" si="25"/>
        <v>250</v>
      </c>
      <c r="R23" s="11">
        <f t="shared" si="25"/>
        <v>250</v>
      </c>
      <c r="S23" s="11">
        <f t="shared" si="25"/>
        <v>250</v>
      </c>
      <c r="T23" s="11">
        <f t="shared" si="25"/>
        <v>250</v>
      </c>
      <c r="U23" s="11">
        <f t="shared" si="25"/>
        <v>250</v>
      </c>
      <c r="V23" s="11">
        <f t="shared" si="25"/>
        <v>250</v>
      </c>
      <c r="W23" s="11">
        <f t="shared" si="25"/>
        <v>250</v>
      </c>
      <c r="X23" s="11">
        <f t="shared" si="25"/>
        <v>250</v>
      </c>
      <c r="Y23" s="11">
        <f t="shared" si="25"/>
        <v>250</v>
      </c>
      <c r="Z23" s="11">
        <f t="shared" si="25"/>
        <v>250</v>
      </c>
      <c r="AA23" s="11">
        <f t="shared" si="25"/>
        <v>250</v>
      </c>
      <c r="AB23" s="11">
        <f t="shared" si="25"/>
        <v>250</v>
      </c>
      <c r="AC23" s="11">
        <f t="shared" si="25"/>
        <v>250</v>
      </c>
      <c r="AD23" s="11">
        <f t="shared" si="25"/>
        <v>250</v>
      </c>
      <c r="AE23" s="11">
        <f t="shared" si="25"/>
        <v>250</v>
      </c>
      <c r="AF23" s="11">
        <f t="shared" si="25"/>
        <v>250</v>
      </c>
      <c r="AG23" s="11">
        <f t="shared" si="25"/>
        <v>250</v>
      </c>
      <c r="AH23" s="11">
        <f t="shared" si="25"/>
        <v>250</v>
      </c>
      <c r="AI23" s="11">
        <f t="shared" si="25"/>
        <v>250</v>
      </c>
      <c r="AJ23" s="11">
        <f t="shared" si="25"/>
        <v>250</v>
      </c>
      <c r="AK23" s="11">
        <f t="shared" si="25"/>
        <v>250</v>
      </c>
      <c r="AL23" s="11">
        <f t="shared" si="25"/>
        <v>250</v>
      </c>
      <c r="AM23" s="11">
        <f t="shared" si="25"/>
        <v>250</v>
      </c>
      <c r="AN23" s="11">
        <f t="shared" si="25"/>
        <v>250</v>
      </c>
      <c r="AO23" s="11">
        <f t="shared" si="25"/>
        <v>250</v>
      </c>
      <c r="AP23" s="11">
        <f t="shared" si="25"/>
        <v>250</v>
      </c>
      <c r="AQ23" s="11">
        <f t="shared" si="25"/>
        <v>250</v>
      </c>
      <c r="AR23" s="11">
        <f t="shared" si="25"/>
        <v>250</v>
      </c>
      <c r="AS23" s="11">
        <f t="shared" si="25"/>
        <v>250</v>
      </c>
      <c r="AT23" s="11">
        <f t="shared" si="25"/>
        <v>250</v>
      </c>
      <c r="AU23" s="11">
        <f t="shared" si="25"/>
        <v>250</v>
      </c>
      <c r="AV23" s="11">
        <f t="shared" si="25"/>
        <v>250</v>
      </c>
      <c r="AW23" s="208">
        <f t="shared" si="25"/>
        <v>250</v>
      </c>
      <c r="AX23" s="208">
        <f t="shared" si="25"/>
        <v>250</v>
      </c>
      <c r="AY23" s="208">
        <f t="shared" si="25"/>
        <v>250</v>
      </c>
      <c r="AZ23" s="208">
        <f t="shared" si="25"/>
        <v>250</v>
      </c>
      <c r="BA23" s="208">
        <f t="shared" si="25"/>
        <v>250</v>
      </c>
      <c r="BB23" s="208">
        <f t="shared" si="25"/>
        <v>250</v>
      </c>
      <c r="BC23" s="208">
        <f t="shared" si="25"/>
        <v>250</v>
      </c>
      <c r="BD23" s="208">
        <f t="shared" si="25"/>
        <v>250</v>
      </c>
      <c r="BE23" s="208">
        <f t="shared" si="25"/>
        <v>250</v>
      </c>
      <c r="BF23" s="208">
        <f t="shared" si="25"/>
        <v>250</v>
      </c>
      <c r="BG23" s="208">
        <f t="shared" si="25"/>
        <v>250</v>
      </c>
      <c r="BH23" s="208">
        <f t="shared" si="25"/>
        <v>250</v>
      </c>
      <c r="BI23" s="208">
        <f t="shared" si="25"/>
        <v>250</v>
      </c>
      <c r="BJ23" s="11">
        <f t="shared" si="25"/>
        <v>250</v>
      </c>
      <c r="BK23" s="11">
        <f t="shared" si="25"/>
        <v>250</v>
      </c>
      <c r="BL23" s="11">
        <f t="shared" si="25"/>
        <v>250</v>
      </c>
      <c r="BM23" s="11">
        <f t="shared" si="25"/>
        <v>250</v>
      </c>
      <c r="BN23" s="11">
        <f t="shared" si="25"/>
        <v>250</v>
      </c>
      <c r="BO23" s="11">
        <f t="shared" si="25"/>
        <v>250</v>
      </c>
      <c r="BP23" s="11">
        <f t="shared" si="25"/>
        <v>250</v>
      </c>
      <c r="BQ23" s="11">
        <f t="shared" si="25"/>
        <v>250</v>
      </c>
      <c r="BR23" s="11">
        <f t="shared" si="25"/>
        <v>250</v>
      </c>
      <c r="BS23" s="11">
        <f t="shared" si="25"/>
        <v>250</v>
      </c>
      <c r="BT23" s="11">
        <f t="shared" si="25"/>
        <v>250</v>
      </c>
      <c r="BU23" s="11">
        <f t="shared" si="25"/>
        <v>250</v>
      </c>
      <c r="BV23" s="11">
        <f t="shared" si="25"/>
        <v>250</v>
      </c>
    </row>
    <row r="24" spans="1:76" x14ac:dyDescent="0.3">
      <c r="A24">
        <f t="shared" si="2"/>
        <v>21</v>
      </c>
      <c r="B24" s="14">
        <v>44621</v>
      </c>
      <c r="C24" s="244" t="s">
        <v>207</v>
      </c>
      <c r="D24" t="s">
        <v>117</v>
      </c>
      <c r="E24" s="212">
        <v>11333</v>
      </c>
      <c r="F24" s="9">
        <f t="shared" si="16"/>
        <v>188.88333333333333</v>
      </c>
      <c r="G24" s="14">
        <v>46446</v>
      </c>
      <c r="H24" s="11">
        <f t="shared" si="4"/>
        <v>0</v>
      </c>
      <c r="P24" s="11">
        <f t="shared" ref="P24:BW24" si="26">$F$24</f>
        <v>188.88333333333333</v>
      </c>
      <c r="Q24" s="11">
        <f t="shared" si="26"/>
        <v>188.88333333333333</v>
      </c>
      <c r="R24" s="11">
        <f t="shared" si="26"/>
        <v>188.88333333333333</v>
      </c>
      <c r="S24" s="11">
        <f t="shared" si="26"/>
        <v>188.88333333333333</v>
      </c>
      <c r="T24" s="11">
        <f t="shared" si="26"/>
        <v>188.88333333333333</v>
      </c>
      <c r="U24" s="11">
        <f t="shared" si="26"/>
        <v>188.88333333333333</v>
      </c>
      <c r="V24" s="11">
        <f t="shared" si="26"/>
        <v>188.88333333333333</v>
      </c>
      <c r="W24" s="11">
        <f t="shared" si="26"/>
        <v>188.88333333333333</v>
      </c>
      <c r="X24" s="11">
        <f t="shared" si="26"/>
        <v>188.88333333333333</v>
      </c>
      <c r="Y24" s="11">
        <f t="shared" si="26"/>
        <v>188.88333333333333</v>
      </c>
      <c r="Z24" s="11">
        <f t="shared" si="26"/>
        <v>188.88333333333333</v>
      </c>
      <c r="AA24" s="11">
        <f t="shared" si="26"/>
        <v>188.88333333333333</v>
      </c>
      <c r="AB24" s="11">
        <f t="shared" si="26"/>
        <v>188.88333333333333</v>
      </c>
      <c r="AC24" s="11">
        <f t="shared" si="26"/>
        <v>188.88333333333333</v>
      </c>
      <c r="AD24" s="11">
        <f t="shared" si="26"/>
        <v>188.88333333333333</v>
      </c>
      <c r="AE24" s="11">
        <f t="shared" si="26"/>
        <v>188.88333333333333</v>
      </c>
      <c r="AF24" s="11">
        <f t="shared" si="26"/>
        <v>188.88333333333333</v>
      </c>
      <c r="AG24" s="11">
        <f t="shared" si="26"/>
        <v>188.88333333333333</v>
      </c>
      <c r="AH24" s="11">
        <f t="shared" si="26"/>
        <v>188.88333333333333</v>
      </c>
      <c r="AI24" s="11">
        <f t="shared" si="26"/>
        <v>188.88333333333333</v>
      </c>
      <c r="AJ24" s="11">
        <f t="shared" si="26"/>
        <v>188.88333333333333</v>
      </c>
      <c r="AK24" s="11">
        <f t="shared" si="26"/>
        <v>188.88333333333333</v>
      </c>
      <c r="AL24" s="11">
        <f t="shared" si="26"/>
        <v>188.88333333333333</v>
      </c>
      <c r="AM24" s="11">
        <f t="shared" si="26"/>
        <v>188.88333333333333</v>
      </c>
      <c r="AN24" s="11">
        <f t="shared" si="26"/>
        <v>188.88333333333333</v>
      </c>
      <c r="AO24" s="11">
        <f t="shared" si="26"/>
        <v>188.88333333333333</v>
      </c>
      <c r="AP24" s="11">
        <f t="shared" si="26"/>
        <v>188.88333333333333</v>
      </c>
      <c r="AQ24" s="11">
        <f t="shared" si="26"/>
        <v>188.88333333333333</v>
      </c>
      <c r="AR24" s="11">
        <f t="shared" si="26"/>
        <v>188.88333333333333</v>
      </c>
      <c r="AS24" s="11">
        <f t="shared" si="26"/>
        <v>188.88333333333333</v>
      </c>
      <c r="AT24" s="11">
        <f t="shared" si="26"/>
        <v>188.88333333333333</v>
      </c>
      <c r="AU24" s="11">
        <f t="shared" si="26"/>
        <v>188.88333333333333</v>
      </c>
      <c r="AV24" s="11">
        <f t="shared" si="26"/>
        <v>188.88333333333333</v>
      </c>
      <c r="AW24" s="208">
        <f t="shared" si="26"/>
        <v>188.88333333333333</v>
      </c>
      <c r="AX24" s="208">
        <f t="shared" si="26"/>
        <v>188.88333333333333</v>
      </c>
      <c r="AY24" s="208">
        <f t="shared" si="26"/>
        <v>188.88333333333333</v>
      </c>
      <c r="AZ24" s="208">
        <f t="shared" si="26"/>
        <v>188.88333333333333</v>
      </c>
      <c r="BA24" s="208">
        <f t="shared" si="26"/>
        <v>188.88333333333333</v>
      </c>
      <c r="BB24" s="208">
        <f t="shared" si="26"/>
        <v>188.88333333333333</v>
      </c>
      <c r="BC24" s="208">
        <f t="shared" si="26"/>
        <v>188.88333333333333</v>
      </c>
      <c r="BD24" s="208">
        <f t="shared" si="26"/>
        <v>188.88333333333333</v>
      </c>
      <c r="BE24" s="208">
        <f t="shared" si="26"/>
        <v>188.88333333333333</v>
      </c>
      <c r="BF24" s="208">
        <f t="shared" si="26"/>
        <v>188.88333333333333</v>
      </c>
      <c r="BG24" s="208">
        <f t="shared" si="26"/>
        <v>188.88333333333333</v>
      </c>
      <c r="BH24" s="208">
        <f t="shared" si="26"/>
        <v>188.88333333333333</v>
      </c>
      <c r="BI24" s="208">
        <f t="shared" si="26"/>
        <v>188.88333333333333</v>
      </c>
      <c r="BJ24" s="11">
        <f t="shared" si="26"/>
        <v>188.88333333333333</v>
      </c>
      <c r="BK24" s="11">
        <f t="shared" si="26"/>
        <v>188.88333333333333</v>
      </c>
      <c r="BL24" s="11">
        <f t="shared" si="26"/>
        <v>188.88333333333333</v>
      </c>
      <c r="BM24" s="11">
        <f t="shared" si="26"/>
        <v>188.88333333333333</v>
      </c>
      <c r="BN24" s="11">
        <f t="shared" si="26"/>
        <v>188.88333333333333</v>
      </c>
      <c r="BO24" s="11">
        <f t="shared" si="26"/>
        <v>188.88333333333333</v>
      </c>
      <c r="BP24" s="11">
        <f t="shared" si="26"/>
        <v>188.88333333333333</v>
      </c>
      <c r="BQ24" s="11">
        <f t="shared" si="26"/>
        <v>188.88333333333333</v>
      </c>
      <c r="BR24" s="11">
        <f t="shared" si="26"/>
        <v>188.88333333333333</v>
      </c>
      <c r="BS24" s="11">
        <f t="shared" si="26"/>
        <v>188.88333333333333</v>
      </c>
      <c r="BT24" s="11">
        <f t="shared" si="26"/>
        <v>188.88333333333333</v>
      </c>
      <c r="BU24" s="11">
        <f t="shared" si="26"/>
        <v>188.88333333333333</v>
      </c>
      <c r="BV24" s="11">
        <f t="shared" si="26"/>
        <v>188.88333333333333</v>
      </c>
      <c r="BW24" s="11">
        <f t="shared" si="26"/>
        <v>188.88333333333333</v>
      </c>
    </row>
    <row r="25" spans="1:76" x14ac:dyDescent="0.3">
      <c r="A25">
        <f t="shared" si="2"/>
        <v>22</v>
      </c>
      <c r="B25" s="14">
        <v>44621</v>
      </c>
      <c r="C25" s="244" t="s">
        <v>208</v>
      </c>
      <c r="D25" t="s">
        <v>117</v>
      </c>
      <c r="E25" s="212">
        <v>5667</v>
      </c>
      <c r="F25" s="9">
        <f t="shared" si="16"/>
        <v>94.45</v>
      </c>
      <c r="G25" s="14">
        <v>46446</v>
      </c>
      <c r="H25" s="11">
        <f t="shared" si="4"/>
        <v>0</v>
      </c>
      <c r="P25" s="11">
        <f t="shared" ref="P25:BW25" si="27">$F$25</f>
        <v>94.45</v>
      </c>
      <c r="Q25" s="11">
        <f t="shared" si="27"/>
        <v>94.45</v>
      </c>
      <c r="R25" s="11">
        <f t="shared" si="27"/>
        <v>94.45</v>
      </c>
      <c r="S25" s="11">
        <f t="shared" si="27"/>
        <v>94.45</v>
      </c>
      <c r="T25" s="11">
        <f t="shared" si="27"/>
        <v>94.45</v>
      </c>
      <c r="U25" s="11">
        <f t="shared" si="27"/>
        <v>94.45</v>
      </c>
      <c r="V25" s="11">
        <f t="shared" si="27"/>
        <v>94.45</v>
      </c>
      <c r="W25" s="11">
        <f t="shared" si="27"/>
        <v>94.45</v>
      </c>
      <c r="X25" s="11">
        <f t="shared" si="27"/>
        <v>94.45</v>
      </c>
      <c r="Y25" s="11">
        <f t="shared" si="27"/>
        <v>94.45</v>
      </c>
      <c r="Z25" s="11">
        <f t="shared" si="27"/>
        <v>94.45</v>
      </c>
      <c r="AA25" s="11">
        <f t="shared" si="27"/>
        <v>94.45</v>
      </c>
      <c r="AB25" s="11">
        <f t="shared" si="27"/>
        <v>94.45</v>
      </c>
      <c r="AC25" s="11">
        <f t="shared" si="27"/>
        <v>94.45</v>
      </c>
      <c r="AD25" s="11">
        <f t="shared" si="27"/>
        <v>94.45</v>
      </c>
      <c r="AE25" s="11">
        <f t="shared" si="27"/>
        <v>94.45</v>
      </c>
      <c r="AF25" s="11">
        <f t="shared" si="27"/>
        <v>94.45</v>
      </c>
      <c r="AG25" s="11">
        <f t="shared" si="27"/>
        <v>94.45</v>
      </c>
      <c r="AH25" s="11">
        <f t="shared" si="27"/>
        <v>94.45</v>
      </c>
      <c r="AI25" s="11">
        <f t="shared" si="27"/>
        <v>94.45</v>
      </c>
      <c r="AJ25" s="11">
        <f t="shared" si="27"/>
        <v>94.45</v>
      </c>
      <c r="AK25" s="11">
        <f t="shared" si="27"/>
        <v>94.45</v>
      </c>
      <c r="AL25" s="11">
        <f t="shared" si="27"/>
        <v>94.45</v>
      </c>
      <c r="AM25" s="11">
        <f t="shared" si="27"/>
        <v>94.45</v>
      </c>
      <c r="AN25" s="11">
        <f t="shared" si="27"/>
        <v>94.45</v>
      </c>
      <c r="AO25" s="11">
        <f t="shared" si="27"/>
        <v>94.45</v>
      </c>
      <c r="AP25" s="11">
        <f t="shared" si="27"/>
        <v>94.45</v>
      </c>
      <c r="AQ25" s="11">
        <f t="shared" si="27"/>
        <v>94.45</v>
      </c>
      <c r="AR25" s="11">
        <f t="shared" si="27"/>
        <v>94.45</v>
      </c>
      <c r="AS25" s="11">
        <f t="shared" si="27"/>
        <v>94.45</v>
      </c>
      <c r="AT25" s="11">
        <f t="shared" si="27"/>
        <v>94.45</v>
      </c>
      <c r="AU25" s="11">
        <f t="shared" si="27"/>
        <v>94.45</v>
      </c>
      <c r="AV25" s="11">
        <f t="shared" si="27"/>
        <v>94.45</v>
      </c>
      <c r="AW25" s="208">
        <f t="shared" si="27"/>
        <v>94.45</v>
      </c>
      <c r="AX25" s="208">
        <f t="shared" si="27"/>
        <v>94.45</v>
      </c>
      <c r="AY25" s="208">
        <f t="shared" si="27"/>
        <v>94.45</v>
      </c>
      <c r="AZ25" s="208">
        <f t="shared" si="27"/>
        <v>94.45</v>
      </c>
      <c r="BA25" s="208">
        <f t="shared" si="27"/>
        <v>94.45</v>
      </c>
      <c r="BB25" s="208">
        <f t="shared" si="27"/>
        <v>94.45</v>
      </c>
      <c r="BC25" s="208">
        <f t="shared" si="27"/>
        <v>94.45</v>
      </c>
      <c r="BD25" s="208">
        <f t="shared" si="27"/>
        <v>94.45</v>
      </c>
      <c r="BE25" s="208">
        <f t="shared" si="27"/>
        <v>94.45</v>
      </c>
      <c r="BF25" s="208">
        <f t="shared" si="27"/>
        <v>94.45</v>
      </c>
      <c r="BG25" s="208">
        <f t="shared" si="27"/>
        <v>94.45</v>
      </c>
      <c r="BH25" s="208">
        <f t="shared" si="27"/>
        <v>94.45</v>
      </c>
      <c r="BI25" s="208">
        <f t="shared" si="27"/>
        <v>94.45</v>
      </c>
      <c r="BJ25" s="11">
        <f t="shared" si="27"/>
        <v>94.45</v>
      </c>
      <c r="BK25" s="11">
        <f t="shared" si="27"/>
        <v>94.45</v>
      </c>
      <c r="BL25" s="11">
        <f t="shared" si="27"/>
        <v>94.45</v>
      </c>
      <c r="BM25" s="11">
        <f t="shared" si="27"/>
        <v>94.45</v>
      </c>
      <c r="BN25" s="11">
        <f t="shared" si="27"/>
        <v>94.45</v>
      </c>
      <c r="BO25" s="11">
        <f t="shared" si="27"/>
        <v>94.45</v>
      </c>
      <c r="BP25" s="11">
        <f t="shared" si="27"/>
        <v>94.45</v>
      </c>
      <c r="BQ25" s="11">
        <f t="shared" si="27"/>
        <v>94.45</v>
      </c>
      <c r="BR25" s="11">
        <f t="shared" si="27"/>
        <v>94.45</v>
      </c>
      <c r="BS25" s="11">
        <f t="shared" si="27"/>
        <v>94.45</v>
      </c>
      <c r="BT25" s="11">
        <f t="shared" si="27"/>
        <v>94.45</v>
      </c>
      <c r="BU25" s="11">
        <f t="shared" si="27"/>
        <v>94.45</v>
      </c>
      <c r="BV25" s="11">
        <f t="shared" si="27"/>
        <v>94.45</v>
      </c>
      <c r="BW25" s="11">
        <f t="shared" si="27"/>
        <v>94.45</v>
      </c>
    </row>
    <row r="26" spans="1:76" x14ac:dyDescent="0.3">
      <c r="A26">
        <f t="shared" si="2"/>
        <v>23</v>
      </c>
      <c r="B26" s="14">
        <v>44644</v>
      </c>
      <c r="C26" s="244" t="s">
        <v>209</v>
      </c>
      <c r="D26" t="s">
        <v>117</v>
      </c>
      <c r="E26" s="9">
        <v>15000</v>
      </c>
      <c r="F26" s="9">
        <f t="shared" si="16"/>
        <v>250</v>
      </c>
      <c r="G26" s="14">
        <v>46446</v>
      </c>
      <c r="H26" s="11">
        <f t="shared" si="4"/>
        <v>0</v>
      </c>
      <c r="P26" s="11">
        <f t="shared" ref="P26:BW26" si="28">$F$26</f>
        <v>250</v>
      </c>
      <c r="Q26" s="11">
        <f t="shared" si="28"/>
        <v>250</v>
      </c>
      <c r="R26" s="11">
        <f t="shared" si="28"/>
        <v>250</v>
      </c>
      <c r="S26" s="11">
        <f t="shared" si="28"/>
        <v>250</v>
      </c>
      <c r="T26" s="11">
        <f t="shared" si="28"/>
        <v>250</v>
      </c>
      <c r="U26" s="11">
        <f t="shared" si="28"/>
        <v>250</v>
      </c>
      <c r="V26" s="11">
        <f t="shared" si="28"/>
        <v>250</v>
      </c>
      <c r="W26" s="11">
        <f t="shared" si="28"/>
        <v>250</v>
      </c>
      <c r="X26" s="11">
        <f t="shared" si="28"/>
        <v>250</v>
      </c>
      <c r="Y26" s="11">
        <f t="shared" si="28"/>
        <v>250</v>
      </c>
      <c r="Z26" s="11">
        <f t="shared" si="28"/>
        <v>250</v>
      </c>
      <c r="AA26" s="11">
        <f t="shared" si="28"/>
        <v>250</v>
      </c>
      <c r="AB26" s="11">
        <f t="shared" si="28"/>
        <v>250</v>
      </c>
      <c r="AC26" s="11">
        <f t="shared" si="28"/>
        <v>250</v>
      </c>
      <c r="AD26" s="11">
        <f t="shared" si="28"/>
        <v>250</v>
      </c>
      <c r="AE26" s="11">
        <f t="shared" si="28"/>
        <v>250</v>
      </c>
      <c r="AF26" s="11">
        <f t="shared" si="28"/>
        <v>250</v>
      </c>
      <c r="AG26" s="11">
        <f t="shared" si="28"/>
        <v>250</v>
      </c>
      <c r="AH26" s="11">
        <f t="shared" si="28"/>
        <v>250</v>
      </c>
      <c r="AI26" s="11">
        <f t="shared" si="28"/>
        <v>250</v>
      </c>
      <c r="AJ26" s="11">
        <f t="shared" si="28"/>
        <v>250</v>
      </c>
      <c r="AK26" s="11">
        <f t="shared" si="28"/>
        <v>250</v>
      </c>
      <c r="AL26" s="11">
        <f t="shared" si="28"/>
        <v>250</v>
      </c>
      <c r="AM26" s="11">
        <f t="shared" si="28"/>
        <v>250</v>
      </c>
      <c r="AN26" s="11">
        <f t="shared" si="28"/>
        <v>250</v>
      </c>
      <c r="AO26" s="11">
        <f t="shared" si="28"/>
        <v>250</v>
      </c>
      <c r="AP26" s="11">
        <f t="shared" si="28"/>
        <v>250</v>
      </c>
      <c r="AQ26" s="11">
        <f t="shared" si="28"/>
        <v>250</v>
      </c>
      <c r="AR26" s="11">
        <f t="shared" si="28"/>
        <v>250</v>
      </c>
      <c r="AS26" s="11">
        <f t="shared" si="28"/>
        <v>250</v>
      </c>
      <c r="AT26" s="11">
        <f t="shared" si="28"/>
        <v>250</v>
      </c>
      <c r="AU26" s="11">
        <f t="shared" si="28"/>
        <v>250</v>
      </c>
      <c r="AV26" s="11">
        <f t="shared" si="28"/>
        <v>250</v>
      </c>
      <c r="AW26" s="208">
        <f t="shared" si="28"/>
        <v>250</v>
      </c>
      <c r="AX26" s="208">
        <f t="shared" si="28"/>
        <v>250</v>
      </c>
      <c r="AY26" s="208">
        <f t="shared" si="28"/>
        <v>250</v>
      </c>
      <c r="AZ26" s="208">
        <f t="shared" si="28"/>
        <v>250</v>
      </c>
      <c r="BA26" s="208">
        <f t="shared" si="28"/>
        <v>250</v>
      </c>
      <c r="BB26" s="208">
        <f t="shared" si="28"/>
        <v>250</v>
      </c>
      <c r="BC26" s="208">
        <f t="shared" si="28"/>
        <v>250</v>
      </c>
      <c r="BD26" s="208">
        <f t="shared" si="28"/>
        <v>250</v>
      </c>
      <c r="BE26" s="208">
        <f t="shared" si="28"/>
        <v>250</v>
      </c>
      <c r="BF26" s="208">
        <f t="shared" si="28"/>
        <v>250</v>
      </c>
      <c r="BG26" s="208">
        <f t="shared" si="28"/>
        <v>250</v>
      </c>
      <c r="BH26" s="208">
        <f t="shared" si="28"/>
        <v>250</v>
      </c>
      <c r="BI26" s="208">
        <f t="shared" si="28"/>
        <v>250</v>
      </c>
      <c r="BJ26" s="11">
        <f t="shared" si="28"/>
        <v>250</v>
      </c>
      <c r="BK26" s="11">
        <f t="shared" si="28"/>
        <v>250</v>
      </c>
      <c r="BL26" s="11">
        <f t="shared" si="28"/>
        <v>250</v>
      </c>
      <c r="BM26" s="11">
        <f t="shared" si="28"/>
        <v>250</v>
      </c>
      <c r="BN26" s="11">
        <f t="shared" si="28"/>
        <v>250</v>
      </c>
      <c r="BO26" s="11">
        <f t="shared" si="28"/>
        <v>250</v>
      </c>
      <c r="BP26" s="11">
        <f t="shared" si="28"/>
        <v>250</v>
      </c>
      <c r="BQ26" s="11">
        <f t="shared" si="28"/>
        <v>250</v>
      </c>
      <c r="BR26" s="11">
        <f t="shared" si="28"/>
        <v>250</v>
      </c>
      <c r="BS26" s="11">
        <f t="shared" si="28"/>
        <v>250</v>
      </c>
      <c r="BT26" s="11">
        <f t="shared" si="28"/>
        <v>250</v>
      </c>
      <c r="BU26" s="11">
        <f t="shared" si="28"/>
        <v>250</v>
      </c>
      <c r="BV26" s="11">
        <f t="shared" si="28"/>
        <v>250</v>
      </c>
      <c r="BW26" s="11">
        <f t="shared" si="28"/>
        <v>250</v>
      </c>
    </row>
    <row r="27" spans="1:76" x14ac:dyDescent="0.3">
      <c r="A27">
        <f t="shared" si="2"/>
        <v>24</v>
      </c>
      <c r="B27" s="14">
        <v>44644</v>
      </c>
      <c r="C27" s="244" t="s">
        <v>210</v>
      </c>
      <c r="D27" t="s">
        <v>197</v>
      </c>
      <c r="E27" s="212">
        <v>11000</v>
      </c>
      <c r="F27" s="9">
        <f>E27/12</f>
        <v>916.66666666666663</v>
      </c>
      <c r="G27" s="14">
        <v>44985</v>
      </c>
      <c r="H27" s="11">
        <f t="shared" si="4"/>
        <v>0</v>
      </c>
      <c r="P27" s="11">
        <f t="shared" ref="P27:AA27" si="29">$F$27</f>
        <v>916.66666666666663</v>
      </c>
      <c r="Q27" s="11">
        <f t="shared" si="29"/>
        <v>916.66666666666663</v>
      </c>
      <c r="R27" s="11">
        <f t="shared" si="29"/>
        <v>916.66666666666663</v>
      </c>
      <c r="S27" s="11">
        <f t="shared" si="29"/>
        <v>916.66666666666663</v>
      </c>
      <c r="T27" s="11">
        <f t="shared" si="29"/>
        <v>916.66666666666663</v>
      </c>
      <c r="U27" s="11">
        <f t="shared" si="29"/>
        <v>916.66666666666663</v>
      </c>
      <c r="V27" s="11">
        <f t="shared" si="29"/>
        <v>916.66666666666663</v>
      </c>
      <c r="W27" s="11">
        <f t="shared" si="29"/>
        <v>916.66666666666663</v>
      </c>
      <c r="X27" s="11">
        <f t="shared" si="29"/>
        <v>916.66666666666663</v>
      </c>
      <c r="Y27" s="11">
        <f t="shared" si="29"/>
        <v>916.66666666666663</v>
      </c>
      <c r="Z27" s="11">
        <f t="shared" si="29"/>
        <v>916.66666666666663</v>
      </c>
      <c r="AA27" s="11">
        <f t="shared" si="29"/>
        <v>916.66666666666663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208"/>
      <c r="AX27" s="208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</row>
    <row r="28" spans="1:76" x14ac:dyDescent="0.3">
      <c r="A28">
        <f t="shared" si="2"/>
        <v>25</v>
      </c>
      <c r="B28" s="14">
        <v>44644</v>
      </c>
      <c r="C28" s="244" t="s">
        <v>210</v>
      </c>
      <c r="D28" t="s">
        <v>117</v>
      </c>
      <c r="E28" s="212">
        <v>15000</v>
      </c>
      <c r="F28" s="9">
        <f t="shared" ref="F28:F38" si="30">E28/60</f>
        <v>250</v>
      </c>
      <c r="G28" s="14">
        <v>46446</v>
      </c>
      <c r="H28" s="11">
        <f t="shared" si="4"/>
        <v>0</v>
      </c>
      <c r="P28" s="11">
        <f t="shared" ref="P28:BW28" si="31">$F$28</f>
        <v>250</v>
      </c>
      <c r="Q28" s="11">
        <f t="shared" si="31"/>
        <v>250</v>
      </c>
      <c r="R28" s="11">
        <f t="shared" si="31"/>
        <v>250</v>
      </c>
      <c r="S28" s="11">
        <f t="shared" si="31"/>
        <v>250</v>
      </c>
      <c r="T28" s="11">
        <f t="shared" si="31"/>
        <v>250</v>
      </c>
      <c r="U28" s="11">
        <f t="shared" si="31"/>
        <v>250</v>
      </c>
      <c r="V28" s="11">
        <f t="shared" si="31"/>
        <v>250</v>
      </c>
      <c r="W28" s="11">
        <f t="shared" si="31"/>
        <v>250</v>
      </c>
      <c r="X28" s="11">
        <f t="shared" si="31"/>
        <v>250</v>
      </c>
      <c r="Y28" s="11">
        <f t="shared" si="31"/>
        <v>250</v>
      </c>
      <c r="Z28" s="11">
        <f t="shared" si="31"/>
        <v>250</v>
      </c>
      <c r="AA28" s="11">
        <f t="shared" si="31"/>
        <v>250</v>
      </c>
      <c r="AB28" s="11">
        <f t="shared" si="31"/>
        <v>250</v>
      </c>
      <c r="AC28" s="11">
        <f t="shared" si="31"/>
        <v>250</v>
      </c>
      <c r="AD28" s="11">
        <f t="shared" si="31"/>
        <v>250</v>
      </c>
      <c r="AE28" s="11">
        <f t="shared" si="31"/>
        <v>250</v>
      </c>
      <c r="AF28" s="11">
        <f t="shared" si="31"/>
        <v>250</v>
      </c>
      <c r="AG28" s="11">
        <f t="shared" si="31"/>
        <v>250</v>
      </c>
      <c r="AH28" s="11">
        <f t="shared" si="31"/>
        <v>250</v>
      </c>
      <c r="AI28" s="11">
        <f t="shared" si="31"/>
        <v>250</v>
      </c>
      <c r="AJ28" s="11">
        <f t="shared" si="31"/>
        <v>250</v>
      </c>
      <c r="AK28" s="11">
        <f t="shared" si="31"/>
        <v>250</v>
      </c>
      <c r="AL28" s="11">
        <f t="shared" si="31"/>
        <v>250</v>
      </c>
      <c r="AM28" s="11">
        <f t="shared" si="31"/>
        <v>250</v>
      </c>
      <c r="AN28" s="11">
        <f t="shared" si="31"/>
        <v>250</v>
      </c>
      <c r="AO28" s="11">
        <f t="shared" si="31"/>
        <v>250</v>
      </c>
      <c r="AP28" s="11">
        <f t="shared" si="31"/>
        <v>250</v>
      </c>
      <c r="AQ28" s="11">
        <f t="shared" si="31"/>
        <v>250</v>
      </c>
      <c r="AR28" s="11">
        <f t="shared" si="31"/>
        <v>250</v>
      </c>
      <c r="AS28" s="11">
        <f t="shared" si="31"/>
        <v>250</v>
      </c>
      <c r="AT28" s="11">
        <f t="shared" si="31"/>
        <v>250</v>
      </c>
      <c r="AU28" s="11">
        <f t="shared" si="31"/>
        <v>250</v>
      </c>
      <c r="AV28" s="11">
        <f t="shared" si="31"/>
        <v>250</v>
      </c>
      <c r="AW28" s="208">
        <f t="shared" si="31"/>
        <v>250</v>
      </c>
      <c r="AX28" s="208">
        <f t="shared" si="31"/>
        <v>250</v>
      </c>
      <c r="AY28" s="208">
        <f t="shared" si="31"/>
        <v>250</v>
      </c>
      <c r="AZ28" s="208">
        <f t="shared" si="31"/>
        <v>250</v>
      </c>
      <c r="BA28" s="208">
        <f t="shared" si="31"/>
        <v>250</v>
      </c>
      <c r="BB28" s="208">
        <f t="shared" si="31"/>
        <v>250</v>
      </c>
      <c r="BC28" s="208">
        <f t="shared" si="31"/>
        <v>250</v>
      </c>
      <c r="BD28" s="208">
        <f t="shared" si="31"/>
        <v>250</v>
      </c>
      <c r="BE28" s="208">
        <f t="shared" si="31"/>
        <v>250</v>
      </c>
      <c r="BF28" s="208">
        <f t="shared" si="31"/>
        <v>250</v>
      </c>
      <c r="BG28" s="208">
        <f t="shared" si="31"/>
        <v>250</v>
      </c>
      <c r="BH28" s="208">
        <f t="shared" si="31"/>
        <v>250</v>
      </c>
      <c r="BI28" s="208">
        <f t="shared" si="31"/>
        <v>250</v>
      </c>
      <c r="BJ28" s="11">
        <f t="shared" si="31"/>
        <v>250</v>
      </c>
      <c r="BK28" s="11">
        <f t="shared" si="31"/>
        <v>250</v>
      </c>
      <c r="BL28" s="11">
        <f t="shared" si="31"/>
        <v>250</v>
      </c>
      <c r="BM28" s="11">
        <f t="shared" si="31"/>
        <v>250</v>
      </c>
      <c r="BN28" s="11">
        <f t="shared" si="31"/>
        <v>250</v>
      </c>
      <c r="BO28" s="11">
        <f t="shared" si="31"/>
        <v>250</v>
      </c>
      <c r="BP28" s="11">
        <f t="shared" si="31"/>
        <v>250</v>
      </c>
      <c r="BQ28" s="11">
        <f t="shared" si="31"/>
        <v>250</v>
      </c>
      <c r="BR28" s="11">
        <f t="shared" si="31"/>
        <v>250</v>
      </c>
      <c r="BS28" s="11">
        <f t="shared" si="31"/>
        <v>250</v>
      </c>
      <c r="BT28" s="11">
        <f t="shared" si="31"/>
        <v>250</v>
      </c>
      <c r="BU28" s="11">
        <f t="shared" si="31"/>
        <v>250</v>
      </c>
      <c r="BV28" s="11">
        <f t="shared" si="31"/>
        <v>250</v>
      </c>
      <c r="BW28" s="11">
        <f t="shared" si="31"/>
        <v>250</v>
      </c>
    </row>
    <row r="29" spans="1:76" x14ac:dyDescent="0.3">
      <c r="A29">
        <f t="shared" si="2"/>
        <v>26</v>
      </c>
      <c r="B29" s="14">
        <v>44651</v>
      </c>
      <c r="C29" t="s">
        <v>211</v>
      </c>
      <c r="D29" t="s">
        <v>117</v>
      </c>
      <c r="E29" s="212">
        <v>8755</v>
      </c>
      <c r="F29" s="9">
        <f t="shared" si="30"/>
        <v>145.91666666666666</v>
      </c>
      <c r="G29" s="14">
        <v>46446</v>
      </c>
      <c r="H29" s="11">
        <f t="shared" si="4"/>
        <v>0</v>
      </c>
      <c r="P29" s="11">
        <f t="shared" ref="P29:BW29" si="32">$F$29</f>
        <v>145.91666666666666</v>
      </c>
      <c r="Q29" s="11">
        <f t="shared" si="32"/>
        <v>145.91666666666666</v>
      </c>
      <c r="R29" s="11">
        <f t="shared" si="32"/>
        <v>145.91666666666666</v>
      </c>
      <c r="S29" s="11">
        <f t="shared" si="32"/>
        <v>145.91666666666666</v>
      </c>
      <c r="T29" s="11">
        <f t="shared" si="32"/>
        <v>145.91666666666666</v>
      </c>
      <c r="U29" s="11">
        <f t="shared" si="32"/>
        <v>145.91666666666666</v>
      </c>
      <c r="V29" s="11">
        <f t="shared" si="32"/>
        <v>145.91666666666666</v>
      </c>
      <c r="W29" s="11">
        <f t="shared" si="32"/>
        <v>145.91666666666666</v>
      </c>
      <c r="X29" s="11">
        <f t="shared" si="32"/>
        <v>145.91666666666666</v>
      </c>
      <c r="Y29" s="11">
        <f t="shared" si="32"/>
        <v>145.91666666666666</v>
      </c>
      <c r="Z29" s="11">
        <f t="shared" si="32"/>
        <v>145.91666666666666</v>
      </c>
      <c r="AA29" s="11">
        <f t="shared" si="32"/>
        <v>145.91666666666666</v>
      </c>
      <c r="AB29" s="11">
        <f t="shared" si="32"/>
        <v>145.91666666666666</v>
      </c>
      <c r="AC29" s="11">
        <f t="shared" si="32"/>
        <v>145.91666666666666</v>
      </c>
      <c r="AD29" s="11">
        <f t="shared" si="32"/>
        <v>145.91666666666666</v>
      </c>
      <c r="AE29" s="11">
        <f t="shared" si="32"/>
        <v>145.91666666666666</v>
      </c>
      <c r="AF29" s="11">
        <f t="shared" si="32"/>
        <v>145.91666666666666</v>
      </c>
      <c r="AG29" s="11">
        <f t="shared" si="32"/>
        <v>145.91666666666666</v>
      </c>
      <c r="AH29" s="11">
        <f t="shared" si="32"/>
        <v>145.91666666666666</v>
      </c>
      <c r="AI29" s="11">
        <f t="shared" si="32"/>
        <v>145.91666666666666</v>
      </c>
      <c r="AJ29" s="11">
        <f t="shared" si="32"/>
        <v>145.91666666666666</v>
      </c>
      <c r="AK29" s="11">
        <f t="shared" si="32"/>
        <v>145.91666666666666</v>
      </c>
      <c r="AL29" s="11">
        <f t="shared" si="32"/>
        <v>145.91666666666666</v>
      </c>
      <c r="AM29" s="11">
        <f t="shared" si="32"/>
        <v>145.91666666666666</v>
      </c>
      <c r="AN29" s="11">
        <f t="shared" si="32"/>
        <v>145.91666666666666</v>
      </c>
      <c r="AO29" s="11">
        <f t="shared" si="32"/>
        <v>145.91666666666666</v>
      </c>
      <c r="AP29" s="11">
        <f t="shared" si="32"/>
        <v>145.91666666666666</v>
      </c>
      <c r="AQ29" s="11">
        <f t="shared" si="32"/>
        <v>145.91666666666666</v>
      </c>
      <c r="AR29" s="11">
        <f t="shared" si="32"/>
        <v>145.91666666666666</v>
      </c>
      <c r="AS29" s="11">
        <f t="shared" si="32"/>
        <v>145.91666666666666</v>
      </c>
      <c r="AT29" s="11">
        <f t="shared" si="32"/>
        <v>145.91666666666666</v>
      </c>
      <c r="AU29" s="11">
        <f t="shared" si="32"/>
        <v>145.91666666666666</v>
      </c>
      <c r="AV29" s="11">
        <f t="shared" si="32"/>
        <v>145.91666666666666</v>
      </c>
      <c r="AW29" s="208">
        <f t="shared" si="32"/>
        <v>145.91666666666666</v>
      </c>
      <c r="AX29" s="208">
        <f t="shared" si="32"/>
        <v>145.91666666666666</v>
      </c>
      <c r="AY29" s="208">
        <f t="shared" si="32"/>
        <v>145.91666666666666</v>
      </c>
      <c r="AZ29" s="208">
        <f t="shared" si="32"/>
        <v>145.91666666666666</v>
      </c>
      <c r="BA29" s="208">
        <f t="shared" si="32"/>
        <v>145.91666666666666</v>
      </c>
      <c r="BB29" s="208">
        <f t="shared" si="32"/>
        <v>145.91666666666666</v>
      </c>
      <c r="BC29" s="208">
        <f t="shared" si="32"/>
        <v>145.91666666666666</v>
      </c>
      <c r="BD29" s="208">
        <f t="shared" si="32"/>
        <v>145.91666666666666</v>
      </c>
      <c r="BE29" s="208">
        <f t="shared" si="32"/>
        <v>145.91666666666666</v>
      </c>
      <c r="BF29" s="208">
        <f t="shared" si="32"/>
        <v>145.91666666666666</v>
      </c>
      <c r="BG29" s="208">
        <f t="shared" si="32"/>
        <v>145.91666666666666</v>
      </c>
      <c r="BH29" s="208">
        <f t="shared" si="32"/>
        <v>145.91666666666666</v>
      </c>
      <c r="BI29" s="208">
        <f t="shared" si="32"/>
        <v>145.91666666666666</v>
      </c>
      <c r="BJ29" s="11">
        <f t="shared" si="32"/>
        <v>145.91666666666666</v>
      </c>
      <c r="BK29" s="11">
        <f t="shared" si="32"/>
        <v>145.91666666666666</v>
      </c>
      <c r="BL29" s="11">
        <f t="shared" si="32"/>
        <v>145.91666666666666</v>
      </c>
      <c r="BM29" s="11">
        <f t="shared" si="32"/>
        <v>145.91666666666666</v>
      </c>
      <c r="BN29" s="11">
        <f t="shared" si="32"/>
        <v>145.91666666666666</v>
      </c>
      <c r="BO29" s="11">
        <f t="shared" si="32"/>
        <v>145.91666666666666</v>
      </c>
      <c r="BP29" s="11">
        <f t="shared" si="32"/>
        <v>145.91666666666666</v>
      </c>
      <c r="BQ29" s="11">
        <f t="shared" si="32"/>
        <v>145.91666666666666</v>
      </c>
      <c r="BR29" s="11">
        <f t="shared" si="32"/>
        <v>145.91666666666666</v>
      </c>
      <c r="BS29" s="11">
        <f t="shared" si="32"/>
        <v>145.91666666666666</v>
      </c>
      <c r="BT29" s="11">
        <f t="shared" si="32"/>
        <v>145.91666666666666</v>
      </c>
      <c r="BU29" s="11">
        <f t="shared" si="32"/>
        <v>145.91666666666666</v>
      </c>
      <c r="BV29" s="11">
        <f t="shared" si="32"/>
        <v>145.91666666666666</v>
      </c>
      <c r="BW29" s="11">
        <f t="shared" si="32"/>
        <v>145.91666666666666</v>
      </c>
    </row>
    <row r="30" spans="1:76" x14ac:dyDescent="0.3">
      <c r="A30">
        <f t="shared" si="2"/>
        <v>27</v>
      </c>
      <c r="B30" s="14">
        <v>44651</v>
      </c>
      <c r="C30" s="244" t="s">
        <v>212</v>
      </c>
      <c r="D30" t="s">
        <v>117</v>
      </c>
      <c r="E30" s="212">
        <v>8500</v>
      </c>
      <c r="F30" s="9">
        <f t="shared" si="30"/>
        <v>141.66666666666666</v>
      </c>
      <c r="G30" s="14">
        <v>46446</v>
      </c>
      <c r="H30" s="11">
        <f t="shared" si="4"/>
        <v>0</v>
      </c>
      <c r="P30" s="11">
        <f t="shared" ref="P30:BW30" si="33">$F$30</f>
        <v>141.66666666666666</v>
      </c>
      <c r="Q30" s="11">
        <f t="shared" si="33"/>
        <v>141.66666666666666</v>
      </c>
      <c r="R30" s="11">
        <f t="shared" si="33"/>
        <v>141.66666666666666</v>
      </c>
      <c r="S30" s="11">
        <f t="shared" si="33"/>
        <v>141.66666666666666</v>
      </c>
      <c r="T30" s="11">
        <f t="shared" si="33"/>
        <v>141.66666666666666</v>
      </c>
      <c r="U30" s="11">
        <f t="shared" si="33"/>
        <v>141.66666666666666</v>
      </c>
      <c r="V30" s="11">
        <f t="shared" si="33"/>
        <v>141.66666666666666</v>
      </c>
      <c r="W30" s="11">
        <f t="shared" si="33"/>
        <v>141.66666666666666</v>
      </c>
      <c r="X30" s="11">
        <f t="shared" si="33"/>
        <v>141.66666666666666</v>
      </c>
      <c r="Y30" s="11">
        <f t="shared" si="33"/>
        <v>141.66666666666666</v>
      </c>
      <c r="Z30" s="11">
        <f t="shared" si="33"/>
        <v>141.66666666666666</v>
      </c>
      <c r="AA30" s="11">
        <f t="shared" si="33"/>
        <v>141.66666666666666</v>
      </c>
      <c r="AB30" s="11">
        <f t="shared" si="33"/>
        <v>141.66666666666666</v>
      </c>
      <c r="AC30" s="11">
        <f t="shared" si="33"/>
        <v>141.66666666666666</v>
      </c>
      <c r="AD30" s="11">
        <f t="shared" si="33"/>
        <v>141.66666666666666</v>
      </c>
      <c r="AE30" s="11">
        <f t="shared" si="33"/>
        <v>141.66666666666666</v>
      </c>
      <c r="AF30" s="11">
        <f t="shared" si="33"/>
        <v>141.66666666666666</v>
      </c>
      <c r="AG30" s="11">
        <f t="shared" si="33"/>
        <v>141.66666666666666</v>
      </c>
      <c r="AH30" s="11">
        <f t="shared" si="33"/>
        <v>141.66666666666666</v>
      </c>
      <c r="AI30" s="11">
        <f t="shared" si="33"/>
        <v>141.66666666666666</v>
      </c>
      <c r="AJ30" s="11">
        <f t="shared" si="33"/>
        <v>141.66666666666666</v>
      </c>
      <c r="AK30" s="11">
        <f t="shared" si="33"/>
        <v>141.66666666666666</v>
      </c>
      <c r="AL30" s="11">
        <f t="shared" si="33"/>
        <v>141.66666666666666</v>
      </c>
      <c r="AM30" s="11">
        <f t="shared" si="33"/>
        <v>141.66666666666666</v>
      </c>
      <c r="AN30" s="11">
        <f t="shared" si="33"/>
        <v>141.66666666666666</v>
      </c>
      <c r="AO30" s="11">
        <f t="shared" si="33"/>
        <v>141.66666666666666</v>
      </c>
      <c r="AP30" s="11">
        <f t="shared" si="33"/>
        <v>141.66666666666666</v>
      </c>
      <c r="AQ30" s="11">
        <f t="shared" si="33"/>
        <v>141.66666666666666</v>
      </c>
      <c r="AR30" s="11">
        <f t="shared" si="33"/>
        <v>141.66666666666666</v>
      </c>
      <c r="AS30" s="11">
        <f t="shared" si="33"/>
        <v>141.66666666666666</v>
      </c>
      <c r="AT30" s="11">
        <f t="shared" si="33"/>
        <v>141.66666666666666</v>
      </c>
      <c r="AU30" s="11">
        <f t="shared" si="33"/>
        <v>141.66666666666666</v>
      </c>
      <c r="AV30" s="11">
        <f t="shared" si="33"/>
        <v>141.66666666666666</v>
      </c>
      <c r="AW30" s="208">
        <f t="shared" si="33"/>
        <v>141.66666666666666</v>
      </c>
      <c r="AX30" s="208">
        <f t="shared" si="33"/>
        <v>141.66666666666666</v>
      </c>
      <c r="AY30" s="208">
        <f t="shared" si="33"/>
        <v>141.66666666666666</v>
      </c>
      <c r="AZ30" s="208">
        <f t="shared" si="33"/>
        <v>141.66666666666666</v>
      </c>
      <c r="BA30" s="208">
        <f t="shared" si="33"/>
        <v>141.66666666666666</v>
      </c>
      <c r="BB30" s="208">
        <f t="shared" si="33"/>
        <v>141.66666666666666</v>
      </c>
      <c r="BC30" s="208">
        <f t="shared" si="33"/>
        <v>141.66666666666666</v>
      </c>
      <c r="BD30" s="208">
        <f t="shared" si="33"/>
        <v>141.66666666666666</v>
      </c>
      <c r="BE30" s="208">
        <f t="shared" si="33"/>
        <v>141.66666666666666</v>
      </c>
      <c r="BF30" s="208">
        <f t="shared" si="33"/>
        <v>141.66666666666666</v>
      </c>
      <c r="BG30" s="208">
        <f t="shared" si="33"/>
        <v>141.66666666666666</v>
      </c>
      <c r="BH30" s="208">
        <f t="shared" si="33"/>
        <v>141.66666666666666</v>
      </c>
      <c r="BI30" s="208">
        <f t="shared" si="33"/>
        <v>141.66666666666666</v>
      </c>
      <c r="BJ30" s="11">
        <f t="shared" si="33"/>
        <v>141.66666666666666</v>
      </c>
      <c r="BK30" s="11">
        <f t="shared" si="33"/>
        <v>141.66666666666666</v>
      </c>
      <c r="BL30" s="11">
        <f t="shared" si="33"/>
        <v>141.66666666666666</v>
      </c>
      <c r="BM30" s="11">
        <f t="shared" si="33"/>
        <v>141.66666666666666</v>
      </c>
      <c r="BN30" s="11">
        <f t="shared" si="33"/>
        <v>141.66666666666666</v>
      </c>
      <c r="BO30" s="11">
        <f t="shared" si="33"/>
        <v>141.66666666666666</v>
      </c>
      <c r="BP30" s="11">
        <f t="shared" si="33"/>
        <v>141.66666666666666</v>
      </c>
      <c r="BQ30" s="11">
        <f t="shared" si="33"/>
        <v>141.66666666666666</v>
      </c>
      <c r="BR30" s="11">
        <f t="shared" si="33"/>
        <v>141.66666666666666</v>
      </c>
      <c r="BS30" s="11">
        <f t="shared" si="33"/>
        <v>141.66666666666666</v>
      </c>
      <c r="BT30" s="11">
        <f t="shared" si="33"/>
        <v>141.66666666666666</v>
      </c>
      <c r="BU30" s="11">
        <f t="shared" si="33"/>
        <v>141.66666666666666</v>
      </c>
      <c r="BV30" s="11">
        <f t="shared" si="33"/>
        <v>141.66666666666666</v>
      </c>
      <c r="BW30" s="11">
        <f t="shared" si="33"/>
        <v>141.66666666666666</v>
      </c>
    </row>
    <row r="31" spans="1:76" x14ac:dyDescent="0.3">
      <c r="A31">
        <f t="shared" si="2"/>
        <v>28</v>
      </c>
      <c r="B31" s="14">
        <v>44651</v>
      </c>
      <c r="C31" t="s">
        <v>213</v>
      </c>
      <c r="D31" t="s">
        <v>117</v>
      </c>
      <c r="E31" s="212">
        <v>15450</v>
      </c>
      <c r="F31" s="9">
        <f t="shared" si="30"/>
        <v>257.5</v>
      </c>
      <c r="G31" s="14">
        <v>46446</v>
      </c>
      <c r="H31" s="11">
        <f t="shared" si="4"/>
        <v>0</v>
      </c>
      <c r="P31" s="11">
        <f>$F$31</f>
        <v>257.5</v>
      </c>
      <c r="Q31" s="11">
        <f>$F$31</f>
        <v>257.5</v>
      </c>
      <c r="R31" s="11">
        <f>$F$31</f>
        <v>257.5</v>
      </c>
      <c r="S31" s="11">
        <f>$F$31</f>
        <v>257.5</v>
      </c>
      <c r="T31" s="11">
        <f>$F$31</f>
        <v>257.5</v>
      </c>
      <c r="U31" s="11">
        <v>14162.5</v>
      </c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208"/>
      <c r="AX31" s="208"/>
      <c r="AY31" s="208"/>
      <c r="AZ31" s="208"/>
      <c r="BA31" s="208"/>
      <c r="BB31" s="208"/>
      <c r="BC31" s="208"/>
      <c r="BD31" s="208"/>
      <c r="BE31" s="208"/>
      <c r="BF31" s="208"/>
      <c r="BG31" s="208"/>
      <c r="BH31" s="208"/>
      <c r="BI31" s="208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</row>
    <row r="32" spans="1:76" x14ac:dyDescent="0.3">
      <c r="A32">
        <f t="shared" si="2"/>
        <v>29</v>
      </c>
      <c r="B32" s="14">
        <v>44659</v>
      </c>
      <c r="C32" t="s">
        <v>214</v>
      </c>
      <c r="D32" t="s">
        <v>117</v>
      </c>
      <c r="E32" s="9">
        <v>22500</v>
      </c>
      <c r="F32" s="9">
        <f t="shared" si="30"/>
        <v>375</v>
      </c>
      <c r="G32" s="14">
        <v>46477</v>
      </c>
      <c r="H32" s="11">
        <f t="shared" si="4"/>
        <v>0</v>
      </c>
      <c r="Q32" s="11">
        <f t="shared" ref="Q32:BX32" si="34">$F$32</f>
        <v>375</v>
      </c>
      <c r="R32" s="11">
        <f t="shared" si="34"/>
        <v>375</v>
      </c>
      <c r="S32" s="11">
        <f t="shared" si="34"/>
        <v>375</v>
      </c>
      <c r="T32" s="11">
        <f t="shared" si="34"/>
        <v>375</v>
      </c>
      <c r="U32" s="11">
        <f t="shared" si="34"/>
        <v>375</v>
      </c>
      <c r="V32" s="11">
        <f t="shared" si="34"/>
        <v>375</v>
      </c>
      <c r="W32" s="11">
        <f t="shared" si="34"/>
        <v>375</v>
      </c>
      <c r="X32" s="11">
        <f t="shared" si="34"/>
        <v>375</v>
      </c>
      <c r="Y32" s="11">
        <f t="shared" si="34"/>
        <v>375</v>
      </c>
      <c r="Z32" s="11">
        <f t="shared" si="34"/>
        <v>375</v>
      </c>
      <c r="AA32" s="11">
        <f t="shared" si="34"/>
        <v>375</v>
      </c>
      <c r="AB32" s="11">
        <f t="shared" si="34"/>
        <v>375</v>
      </c>
      <c r="AC32" s="11">
        <f t="shared" si="34"/>
        <v>375</v>
      </c>
      <c r="AD32" s="11">
        <f t="shared" si="34"/>
        <v>375</v>
      </c>
      <c r="AE32" s="11">
        <f t="shared" si="34"/>
        <v>375</v>
      </c>
      <c r="AF32" s="11">
        <f t="shared" si="34"/>
        <v>375</v>
      </c>
      <c r="AG32" s="11">
        <f t="shared" si="34"/>
        <v>375</v>
      </c>
      <c r="AH32" s="11">
        <f t="shared" si="34"/>
        <v>375</v>
      </c>
      <c r="AI32" s="11">
        <f t="shared" si="34"/>
        <v>375</v>
      </c>
      <c r="AJ32" s="11">
        <f t="shared" si="34"/>
        <v>375</v>
      </c>
      <c r="AK32" s="11">
        <f t="shared" si="34"/>
        <v>375</v>
      </c>
      <c r="AL32" s="11">
        <f t="shared" si="34"/>
        <v>375</v>
      </c>
      <c r="AM32" s="11">
        <f t="shared" si="34"/>
        <v>375</v>
      </c>
      <c r="AN32" s="11">
        <f t="shared" si="34"/>
        <v>375</v>
      </c>
      <c r="AO32" s="11">
        <f t="shared" si="34"/>
        <v>375</v>
      </c>
      <c r="AP32" s="11">
        <f t="shared" si="34"/>
        <v>375</v>
      </c>
      <c r="AQ32" s="11">
        <f t="shared" si="34"/>
        <v>375</v>
      </c>
      <c r="AR32" s="11">
        <f t="shared" si="34"/>
        <v>375</v>
      </c>
      <c r="AS32" s="11">
        <f t="shared" si="34"/>
        <v>375</v>
      </c>
      <c r="AT32" s="11">
        <f t="shared" si="34"/>
        <v>375</v>
      </c>
      <c r="AU32" s="11">
        <f t="shared" si="34"/>
        <v>375</v>
      </c>
      <c r="AV32" s="11">
        <f t="shared" si="34"/>
        <v>375</v>
      </c>
      <c r="AW32" s="208">
        <f t="shared" si="34"/>
        <v>375</v>
      </c>
      <c r="AX32" s="208">
        <f t="shared" si="34"/>
        <v>375</v>
      </c>
      <c r="AY32" s="208">
        <f t="shared" si="34"/>
        <v>375</v>
      </c>
      <c r="AZ32" s="208">
        <f t="shared" si="34"/>
        <v>375</v>
      </c>
      <c r="BA32" s="208">
        <f t="shared" si="34"/>
        <v>375</v>
      </c>
      <c r="BB32" s="208">
        <f t="shared" si="34"/>
        <v>375</v>
      </c>
      <c r="BC32" s="208">
        <f t="shared" si="34"/>
        <v>375</v>
      </c>
      <c r="BD32" s="208">
        <f t="shared" si="34"/>
        <v>375</v>
      </c>
      <c r="BE32" s="208">
        <f t="shared" si="34"/>
        <v>375</v>
      </c>
      <c r="BF32" s="208">
        <f t="shared" si="34"/>
        <v>375</v>
      </c>
      <c r="BG32" s="208">
        <f t="shared" si="34"/>
        <v>375</v>
      </c>
      <c r="BH32" s="208">
        <f t="shared" si="34"/>
        <v>375</v>
      </c>
      <c r="BI32" s="208">
        <f t="shared" si="34"/>
        <v>375</v>
      </c>
      <c r="BJ32" s="11">
        <f t="shared" si="34"/>
        <v>375</v>
      </c>
      <c r="BK32" s="11">
        <f t="shared" si="34"/>
        <v>375</v>
      </c>
      <c r="BL32" s="11">
        <f t="shared" si="34"/>
        <v>375</v>
      </c>
      <c r="BM32" s="11">
        <f t="shared" si="34"/>
        <v>375</v>
      </c>
      <c r="BN32" s="11">
        <f t="shared" si="34"/>
        <v>375</v>
      </c>
      <c r="BO32" s="11">
        <f t="shared" si="34"/>
        <v>375</v>
      </c>
      <c r="BP32" s="11">
        <f t="shared" si="34"/>
        <v>375</v>
      </c>
      <c r="BQ32" s="11">
        <f t="shared" si="34"/>
        <v>375</v>
      </c>
      <c r="BR32" s="11">
        <f t="shared" si="34"/>
        <v>375</v>
      </c>
      <c r="BS32" s="11">
        <f t="shared" si="34"/>
        <v>375</v>
      </c>
      <c r="BT32" s="11">
        <f t="shared" si="34"/>
        <v>375</v>
      </c>
      <c r="BU32" s="11">
        <f t="shared" si="34"/>
        <v>375</v>
      </c>
      <c r="BV32" s="11">
        <f t="shared" si="34"/>
        <v>375</v>
      </c>
      <c r="BW32" s="11">
        <f t="shared" si="34"/>
        <v>375</v>
      </c>
      <c r="BX32" s="11">
        <f t="shared" si="34"/>
        <v>375</v>
      </c>
    </row>
    <row r="33" spans="1:120" x14ac:dyDescent="0.3">
      <c r="A33">
        <f t="shared" si="2"/>
        <v>30</v>
      </c>
      <c r="B33" s="14">
        <v>44689</v>
      </c>
      <c r="C33" t="s">
        <v>215</v>
      </c>
      <c r="D33" t="s">
        <v>117</v>
      </c>
      <c r="E33" s="9">
        <v>24500</v>
      </c>
      <c r="F33" s="9">
        <f t="shared" si="30"/>
        <v>408.33333333333331</v>
      </c>
      <c r="G33" s="14">
        <v>46507</v>
      </c>
      <c r="H33" s="11">
        <f t="shared" si="4"/>
        <v>0</v>
      </c>
      <c r="R33" s="11">
        <f t="shared" ref="R33:BY33" si="35">$F$33</f>
        <v>408.33333333333331</v>
      </c>
      <c r="S33" s="11">
        <f t="shared" si="35"/>
        <v>408.33333333333331</v>
      </c>
      <c r="T33" s="11">
        <f t="shared" si="35"/>
        <v>408.33333333333331</v>
      </c>
      <c r="U33" s="11">
        <f t="shared" si="35"/>
        <v>408.33333333333331</v>
      </c>
      <c r="V33" s="11">
        <f t="shared" si="35"/>
        <v>408.33333333333331</v>
      </c>
      <c r="W33" s="11">
        <f t="shared" si="35"/>
        <v>408.33333333333331</v>
      </c>
      <c r="X33" s="11">
        <f t="shared" si="35"/>
        <v>408.33333333333331</v>
      </c>
      <c r="Y33" s="11">
        <f t="shared" si="35"/>
        <v>408.33333333333331</v>
      </c>
      <c r="Z33" s="11">
        <f t="shared" si="35"/>
        <v>408.33333333333331</v>
      </c>
      <c r="AA33" s="11">
        <f t="shared" si="35"/>
        <v>408.33333333333331</v>
      </c>
      <c r="AB33" s="11">
        <f t="shared" si="35"/>
        <v>408.33333333333331</v>
      </c>
      <c r="AC33" s="11">
        <f t="shared" si="35"/>
        <v>408.33333333333331</v>
      </c>
      <c r="AD33" s="11">
        <f t="shared" si="35"/>
        <v>408.33333333333331</v>
      </c>
      <c r="AE33" s="11">
        <f t="shared" si="35"/>
        <v>408.33333333333331</v>
      </c>
      <c r="AF33" s="11">
        <f t="shared" si="35"/>
        <v>408.33333333333331</v>
      </c>
      <c r="AG33" s="11">
        <f t="shared" si="35"/>
        <v>408.33333333333331</v>
      </c>
      <c r="AH33" s="11">
        <f t="shared" si="35"/>
        <v>408.33333333333331</v>
      </c>
      <c r="AI33" s="11">
        <f t="shared" si="35"/>
        <v>408.33333333333331</v>
      </c>
      <c r="AJ33" s="11">
        <f t="shared" si="35"/>
        <v>408.33333333333331</v>
      </c>
      <c r="AK33" s="11">
        <f t="shared" si="35"/>
        <v>408.33333333333331</v>
      </c>
      <c r="AL33" s="11">
        <f t="shared" si="35"/>
        <v>408.33333333333331</v>
      </c>
      <c r="AM33" s="11">
        <f t="shared" si="35"/>
        <v>408.33333333333331</v>
      </c>
      <c r="AN33" s="11">
        <f t="shared" si="35"/>
        <v>408.33333333333331</v>
      </c>
      <c r="AO33" s="11">
        <f t="shared" si="35"/>
        <v>408.33333333333331</v>
      </c>
      <c r="AP33" s="11">
        <f t="shared" si="35"/>
        <v>408.33333333333331</v>
      </c>
      <c r="AQ33" s="11">
        <f t="shared" si="35"/>
        <v>408.33333333333331</v>
      </c>
      <c r="AR33" s="11">
        <f t="shared" si="35"/>
        <v>408.33333333333331</v>
      </c>
      <c r="AS33" s="11">
        <f t="shared" si="35"/>
        <v>408.33333333333331</v>
      </c>
      <c r="AT33" s="11">
        <f t="shared" si="35"/>
        <v>408.33333333333331</v>
      </c>
      <c r="AU33" s="11">
        <f t="shared" si="35"/>
        <v>408.33333333333331</v>
      </c>
      <c r="AV33" s="11">
        <f t="shared" si="35"/>
        <v>408.33333333333331</v>
      </c>
      <c r="AW33" s="208">
        <f t="shared" si="35"/>
        <v>408.33333333333331</v>
      </c>
      <c r="AX33" s="208">
        <f t="shared" si="35"/>
        <v>408.33333333333331</v>
      </c>
      <c r="AY33" s="208">
        <f t="shared" si="35"/>
        <v>408.33333333333331</v>
      </c>
      <c r="AZ33" s="208">
        <f t="shared" si="35"/>
        <v>408.33333333333331</v>
      </c>
      <c r="BA33" s="208">
        <f t="shared" si="35"/>
        <v>408.33333333333331</v>
      </c>
      <c r="BB33" s="208">
        <f t="shared" si="35"/>
        <v>408.33333333333331</v>
      </c>
      <c r="BC33" s="208">
        <f t="shared" si="35"/>
        <v>408.33333333333331</v>
      </c>
      <c r="BD33" s="208">
        <f t="shared" si="35"/>
        <v>408.33333333333331</v>
      </c>
      <c r="BE33" s="208">
        <f t="shared" si="35"/>
        <v>408.33333333333331</v>
      </c>
      <c r="BF33" s="208">
        <f t="shared" si="35"/>
        <v>408.33333333333331</v>
      </c>
      <c r="BG33" s="208">
        <f t="shared" si="35"/>
        <v>408.33333333333331</v>
      </c>
      <c r="BH33" s="208">
        <f t="shared" si="35"/>
        <v>408.33333333333331</v>
      </c>
      <c r="BI33" s="208">
        <f t="shared" si="35"/>
        <v>408.33333333333331</v>
      </c>
      <c r="BJ33" s="11">
        <f t="shared" si="35"/>
        <v>408.33333333333331</v>
      </c>
      <c r="BK33" s="11">
        <f t="shared" si="35"/>
        <v>408.33333333333331</v>
      </c>
      <c r="BL33" s="11">
        <f t="shared" si="35"/>
        <v>408.33333333333331</v>
      </c>
      <c r="BM33" s="11">
        <f t="shared" si="35"/>
        <v>408.33333333333331</v>
      </c>
      <c r="BN33" s="11">
        <f t="shared" si="35"/>
        <v>408.33333333333331</v>
      </c>
      <c r="BO33" s="11">
        <f t="shared" si="35"/>
        <v>408.33333333333331</v>
      </c>
      <c r="BP33" s="11">
        <f t="shared" si="35"/>
        <v>408.33333333333331</v>
      </c>
      <c r="BQ33" s="11">
        <f t="shared" si="35"/>
        <v>408.33333333333331</v>
      </c>
      <c r="BR33" s="11">
        <f t="shared" si="35"/>
        <v>408.33333333333331</v>
      </c>
      <c r="BS33" s="11">
        <f t="shared" si="35"/>
        <v>408.33333333333331</v>
      </c>
      <c r="BT33" s="11">
        <f t="shared" si="35"/>
        <v>408.33333333333331</v>
      </c>
      <c r="BU33" s="11">
        <f t="shared" si="35"/>
        <v>408.33333333333331</v>
      </c>
      <c r="BV33" s="11">
        <f t="shared" si="35"/>
        <v>408.33333333333331</v>
      </c>
      <c r="BW33" s="11">
        <f t="shared" si="35"/>
        <v>408.33333333333331</v>
      </c>
      <c r="BX33" s="11">
        <f t="shared" si="35"/>
        <v>408.33333333333331</v>
      </c>
      <c r="BY33" s="11">
        <f t="shared" si="35"/>
        <v>408.33333333333331</v>
      </c>
    </row>
    <row r="34" spans="1:120" x14ac:dyDescent="0.3">
      <c r="A34">
        <f t="shared" si="2"/>
        <v>31</v>
      </c>
      <c r="B34" s="14">
        <v>44772</v>
      </c>
      <c r="C34" t="s">
        <v>216</v>
      </c>
      <c r="D34" t="s">
        <v>117</v>
      </c>
      <c r="E34" s="9">
        <v>19000</v>
      </c>
      <c r="F34" s="9">
        <f t="shared" si="30"/>
        <v>316.66666666666669</v>
      </c>
      <c r="G34" s="14">
        <v>46568</v>
      </c>
      <c r="H34" s="11">
        <f t="shared" si="4"/>
        <v>0</v>
      </c>
      <c r="T34" s="11">
        <f t="shared" ref="T34:CA34" si="36">$F$34</f>
        <v>316.66666666666669</v>
      </c>
      <c r="U34" s="11">
        <f t="shared" si="36"/>
        <v>316.66666666666669</v>
      </c>
      <c r="V34" s="11">
        <f t="shared" si="36"/>
        <v>316.66666666666669</v>
      </c>
      <c r="W34" s="11">
        <f t="shared" si="36"/>
        <v>316.66666666666669</v>
      </c>
      <c r="X34" s="11">
        <f t="shared" si="36"/>
        <v>316.66666666666669</v>
      </c>
      <c r="Y34" s="11">
        <f t="shared" si="36"/>
        <v>316.66666666666669</v>
      </c>
      <c r="Z34" s="11">
        <f t="shared" si="36"/>
        <v>316.66666666666669</v>
      </c>
      <c r="AA34" s="11">
        <f t="shared" si="36"/>
        <v>316.66666666666669</v>
      </c>
      <c r="AB34" s="11">
        <f t="shared" si="36"/>
        <v>316.66666666666669</v>
      </c>
      <c r="AC34" s="11">
        <f t="shared" si="36"/>
        <v>316.66666666666669</v>
      </c>
      <c r="AD34" s="11">
        <f t="shared" si="36"/>
        <v>316.66666666666669</v>
      </c>
      <c r="AE34" s="11">
        <f t="shared" si="36"/>
        <v>316.66666666666669</v>
      </c>
      <c r="AF34" s="11">
        <f t="shared" si="36"/>
        <v>316.66666666666669</v>
      </c>
      <c r="AG34" s="11">
        <f t="shared" si="36"/>
        <v>316.66666666666669</v>
      </c>
      <c r="AH34" s="11">
        <f t="shared" si="36"/>
        <v>316.66666666666669</v>
      </c>
      <c r="AI34" s="11">
        <f t="shared" si="36"/>
        <v>316.66666666666669</v>
      </c>
      <c r="AJ34" s="11">
        <f t="shared" si="36"/>
        <v>316.66666666666669</v>
      </c>
      <c r="AK34" s="11">
        <f t="shared" si="36"/>
        <v>316.66666666666669</v>
      </c>
      <c r="AL34" s="11">
        <f t="shared" si="36"/>
        <v>316.66666666666669</v>
      </c>
      <c r="AM34" s="11">
        <f t="shared" si="36"/>
        <v>316.66666666666669</v>
      </c>
      <c r="AN34" s="11">
        <f t="shared" si="36"/>
        <v>316.66666666666669</v>
      </c>
      <c r="AO34" s="11">
        <f t="shared" si="36"/>
        <v>316.66666666666669</v>
      </c>
      <c r="AP34" s="11">
        <f t="shared" si="36"/>
        <v>316.66666666666669</v>
      </c>
      <c r="AQ34" s="11">
        <f t="shared" si="36"/>
        <v>316.66666666666669</v>
      </c>
      <c r="AR34" s="11">
        <f t="shared" si="36"/>
        <v>316.66666666666669</v>
      </c>
      <c r="AS34" s="11">
        <f t="shared" si="36"/>
        <v>316.66666666666669</v>
      </c>
      <c r="AT34" s="11">
        <f t="shared" si="36"/>
        <v>316.66666666666669</v>
      </c>
      <c r="AU34" s="11">
        <f t="shared" si="36"/>
        <v>316.66666666666669</v>
      </c>
      <c r="AV34" s="11">
        <f t="shared" si="36"/>
        <v>316.66666666666669</v>
      </c>
      <c r="AW34" s="208">
        <f t="shared" si="36"/>
        <v>316.66666666666669</v>
      </c>
      <c r="AX34" s="208">
        <f t="shared" si="36"/>
        <v>316.66666666666669</v>
      </c>
      <c r="AY34" s="208">
        <f t="shared" si="36"/>
        <v>316.66666666666669</v>
      </c>
      <c r="AZ34" s="208">
        <f t="shared" si="36"/>
        <v>316.66666666666669</v>
      </c>
      <c r="BA34" s="208">
        <f t="shared" si="36"/>
        <v>316.66666666666669</v>
      </c>
      <c r="BB34" s="208">
        <f t="shared" si="36"/>
        <v>316.66666666666669</v>
      </c>
      <c r="BC34" s="208">
        <f t="shared" si="36"/>
        <v>316.66666666666669</v>
      </c>
      <c r="BD34" s="208">
        <f t="shared" si="36"/>
        <v>316.66666666666669</v>
      </c>
      <c r="BE34" s="208">
        <f t="shared" si="36"/>
        <v>316.66666666666669</v>
      </c>
      <c r="BF34" s="208">
        <f t="shared" si="36"/>
        <v>316.66666666666669</v>
      </c>
      <c r="BG34" s="208">
        <f t="shared" si="36"/>
        <v>316.66666666666669</v>
      </c>
      <c r="BH34" s="208">
        <f t="shared" si="36"/>
        <v>316.66666666666669</v>
      </c>
      <c r="BI34" s="208">
        <f t="shared" si="36"/>
        <v>316.66666666666669</v>
      </c>
      <c r="BJ34" s="11">
        <f t="shared" si="36"/>
        <v>316.66666666666669</v>
      </c>
      <c r="BK34" s="11">
        <f t="shared" si="36"/>
        <v>316.66666666666669</v>
      </c>
      <c r="BL34" s="11">
        <f t="shared" si="36"/>
        <v>316.66666666666669</v>
      </c>
      <c r="BM34" s="11">
        <f t="shared" si="36"/>
        <v>316.66666666666669</v>
      </c>
      <c r="BN34" s="11">
        <f t="shared" si="36"/>
        <v>316.66666666666669</v>
      </c>
      <c r="BO34" s="11">
        <f t="shared" si="36"/>
        <v>316.66666666666669</v>
      </c>
      <c r="BP34" s="11">
        <f t="shared" si="36"/>
        <v>316.66666666666669</v>
      </c>
      <c r="BQ34" s="11">
        <f t="shared" si="36"/>
        <v>316.66666666666669</v>
      </c>
      <c r="BR34" s="11">
        <f t="shared" si="36"/>
        <v>316.66666666666669</v>
      </c>
      <c r="BS34" s="11">
        <f t="shared" si="36"/>
        <v>316.66666666666669</v>
      </c>
      <c r="BT34" s="11">
        <f t="shared" si="36"/>
        <v>316.66666666666669</v>
      </c>
      <c r="BU34" s="11">
        <f t="shared" si="36"/>
        <v>316.66666666666669</v>
      </c>
      <c r="BV34" s="11">
        <f t="shared" si="36"/>
        <v>316.66666666666669</v>
      </c>
      <c r="BW34" s="11">
        <f t="shared" si="36"/>
        <v>316.66666666666669</v>
      </c>
      <c r="BX34" s="11">
        <f t="shared" si="36"/>
        <v>316.66666666666669</v>
      </c>
      <c r="BY34" s="11">
        <f t="shared" si="36"/>
        <v>316.66666666666669</v>
      </c>
      <c r="BZ34" s="11">
        <f t="shared" si="36"/>
        <v>316.66666666666669</v>
      </c>
      <c r="CA34" s="11">
        <f t="shared" si="36"/>
        <v>316.66666666666669</v>
      </c>
    </row>
    <row r="35" spans="1:120" x14ac:dyDescent="0.3">
      <c r="A35">
        <f t="shared" si="2"/>
        <v>32</v>
      </c>
      <c r="B35" s="14">
        <v>44804</v>
      </c>
      <c r="C35" t="s">
        <v>217</v>
      </c>
      <c r="D35" t="s">
        <v>117</v>
      </c>
      <c r="E35" s="9">
        <v>10500</v>
      </c>
      <c r="F35" s="9">
        <f t="shared" si="30"/>
        <v>175</v>
      </c>
      <c r="G35" s="14">
        <v>46599</v>
      </c>
      <c r="H35" s="11">
        <f t="shared" si="4"/>
        <v>0</v>
      </c>
      <c r="U35" s="11">
        <f t="shared" ref="U35:CB35" si="37">$F$35</f>
        <v>175</v>
      </c>
      <c r="V35" s="11">
        <f t="shared" si="37"/>
        <v>175</v>
      </c>
      <c r="W35" s="11">
        <f t="shared" si="37"/>
        <v>175</v>
      </c>
      <c r="X35" s="11">
        <f t="shared" si="37"/>
        <v>175</v>
      </c>
      <c r="Y35" s="11">
        <f t="shared" si="37"/>
        <v>175</v>
      </c>
      <c r="Z35" s="11">
        <f t="shared" si="37"/>
        <v>175</v>
      </c>
      <c r="AA35" s="11">
        <f t="shared" si="37"/>
        <v>175</v>
      </c>
      <c r="AB35" s="11">
        <f t="shared" si="37"/>
        <v>175</v>
      </c>
      <c r="AC35" s="11">
        <f t="shared" si="37"/>
        <v>175</v>
      </c>
      <c r="AD35" s="11">
        <f t="shared" si="37"/>
        <v>175</v>
      </c>
      <c r="AE35" s="11">
        <f t="shared" si="37"/>
        <v>175</v>
      </c>
      <c r="AF35" s="11">
        <f t="shared" si="37"/>
        <v>175</v>
      </c>
      <c r="AG35" s="11">
        <f t="shared" si="37"/>
        <v>175</v>
      </c>
      <c r="AH35" s="11">
        <f t="shared" si="37"/>
        <v>175</v>
      </c>
      <c r="AI35" s="11">
        <f t="shared" si="37"/>
        <v>175</v>
      </c>
      <c r="AJ35" s="11">
        <f t="shared" si="37"/>
        <v>175</v>
      </c>
      <c r="AK35" s="11">
        <f t="shared" si="37"/>
        <v>175</v>
      </c>
      <c r="AL35" s="11">
        <f t="shared" si="37"/>
        <v>175</v>
      </c>
      <c r="AM35" s="11">
        <f t="shared" si="37"/>
        <v>175</v>
      </c>
      <c r="AN35" s="11">
        <f t="shared" si="37"/>
        <v>175</v>
      </c>
      <c r="AO35" s="11">
        <f t="shared" si="37"/>
        <v>175</v>
      </c>
      <c r="AP35" s="11">
        <f t="shared" si="37"/>
        <v>175</v>
      </c>
      <c r="AQ35" s="11">
        <f t="shared" si="37"/>
        <v>175</v>
      </c>
      <c r="AR35" s="11">
        <f t="shared" si="37"/>
        <v>175</v>
      </c>
      <c r="AS35" s="11">
        <f t="shared" si="37"/>
        <v>175</v>
      </c>
      <c r="AT35" s="11">
        <f t="shared" si="37"/>
        <v>175</v>
      </c>
      <c r="AU35" s="11">
        <f t="shared" si="37"/>
        <v>175</v>
      </c>
      <c r="AV35" s="11">
        <f t="shared" si="37"/>
        <v>175</v>
      </c>
      <c r="AW35" s="208">
        <f t="shared" si="37"/>
        <v>175</v>
      </c>
      <c r="AX35" s="208">
        <f t="shared" si="37"/>
        <v>175</v>
      </c>
      <c r="AY35" s="208">
        <f t="shared" si="37"/>
        <v>175</v>
      </c>
      <c r="AZ35" s="208">
        <f t="shared" si="37"/>
        <v>175</v>
      </c>
      <c r="BA35" s="208">
        <f t="shared" si="37"/>
        <v>175</v>
      </c>
      <c r="BB35" s="208">
        <f t="shared" si="37"/>
        <v>175</v>
      </c>
      <c r="BC35" s="208">
        <f t="shared" si="37"/>
        <v>175</v>
      </c>
      <c r="BD35" s="208">
        <f t="shared" si="37"/>
        <v>175</v>
      </c>
      <c r="BE35" s="208">
        <f t="shared" si="37"/>
        <v>175</v>
      </c>
      <c r="BF35" s="208">
        <f t="shared" si="37"/>
        <v>175</v>
      </c>
      <c r="BG35" s="208">
        <f t="shared" si="37"/>
        <v>175</v>
      </c>
      <c r="BH35" s="208">
        <f t="shared" si="37"/>
        <v>175</v>
      </c>
      <c r="BI35" s="208">
        <f t="shared" si="37"/>
        <v>175</v>
      </c>
      <c r="BJ35" s="11">
        <f t="shared" si="37"/>
        <v>175</v>
      </c>
      <c r="BK35" s="11">
        <f t="shared" si="37"/>
        <v>175</v>
      </c>
      <c r="BL35" s="11">
        <f t="shared" si="37"/>
        <v>175</v>
      </c>
      <c r="BM35" s="11">
        <f t="shared" si="37"/>
        <v>175</v>
      </c>
      <c r="BN35" s="11">
        <f t="shared" si="37"/>
        <v>175</v>
      </c>
      <c r="BO35" s="11">
        <f t="shared" si="37"/>
        <v>175</v>
      </c>
      <c r="BP35" s="11">
        <f t="shared" si="37"/>
        <v>175</v>
      </c>
      <c r="BQ35" s="11">
        <f t="shared" si="37"/>
        <v>175</v>
      </c>
      <c r="BR35" s="11">
        <f t="shared" si="37"/>
        <v>175</v>
      </c>
      <c r="BS35" s="11">
        <f t="shared" si="37"/>
        <v>175</v>
      </c>
      <c r="BT35" s="11">
        <f t="shared" si="37"/>
        <v>175</v>
      </c>
      <c r="BU35" s="11">
        <f t="shared" si="37"/>
        <v>175</v>
      </c>
      <c r="BV35" s="11">
        <f t="shared" si="37"/>
        <v>175</v>
      </c>
      <c r="BW35" s="11">
        <f t="shared" si="37"/>
        <v>175</v>
      </c>
      <c r="BX35" s="11">
        <f t="shared" si="37"/>
        <v>175</v>
      </c>
      <c r="BY35" s="11">
        <f t="shared" si="37"/>
        <v>175</v>
      </c>
      <c r="BZ35" s="11">
        <f t="shared" si="37"/>
        <v>175</v>
      </c>
      <c r="CA35" s="11">
        <f t="shared" si="37"/>
        <v>175</v>
      </c>
      <c r="CB35" s="11">
        <f t="shared" si="37"/>
        <v>175</v>
      </c>
      <c r="CC35" s="11"/>
    </row>
    <row r="36" spans="1:120" x14ac:dyDescent="0.3">
      <c r="A36">
        <f t="shared" si="2"/>
        <v>33</v>
      </c>
      <c r="B36" s="14">
        <v>44851</v>
      </c>
      <c r="C36" t="s">
        <v>218</v>
      </c>
      <c r="D36" t="s">
        <v>117</v>
      </c>
      <c r="E36" s="9">
        <v>22500</v>
      </c>
      <c r="F36" s="9">
        <f t="shared" si="30"/>
        <v>375</v>
      </c>
      <c r="G36" s="14">
        <v>46660</v>
      </c>
      <c r="H36" s="11">
        <f t="shared" si="4"/>
        <v>0</v>
      </c>
      <c r="W36" s="11">
        <f t="shared" ref="W36:CD36" si="38">$F$36</f>
        <v>375</v>
      </c>
      <c r="X36" s="11">
        <f t="shared" si="38"/>
        <v>375</v>
      </c>
      <c r="Y36" s="11">
        <f t="shared" si="38"/>
        <v>375</v>
      </c>
      <c r="Z36" s="11">
        <f t="shared" si="38"/>
        <v>375</v>
      </c>
      <c r="AA36" s="11">
        <f t="shared" si="38"/>
        <v>375</v>
      </c>
      <c r="AB36" s="11">
        <f t="shared" si="38"/>
        <v>375</v>
      </c>
      <c r="AC36" s="11">
        <f t="shared" si="38"/>
        <v>375</v>
      </c>
      <c r="AD36" s="11">
        <f t="shared" si="38"/>
        <v>375</v>
      </c>
      <c r="AE36" s="11">
        <f t="shared" si="38"/>
        <v>375</v>
      </c>
      <c r="AF36" s="11">
        <f t="shared" si="38"/>
        <v>375</v>
      </c>
      <c r="AG36" s="11">
        <f t="shared" si="38"/>
        <v>375</v>
      </c>
      <c r="AH36" s="11">
        <f t="shared" si="38"/>
        <v>375</v>
      </c>
      <c r="AI36" s="11">
        <f t="shared" si="38"/>
        <v>375</v>
      </c>
      <c r="AJ36" s="11">
        <f t="shared" si="38"/>
        <v>375</v>
      </c>
      <c r="AK36" s="11">
        <f t="shared" si="38"/>
        <v>375</v>
      </c>
      <c r="AL36" s="11">
        <f t="shared" si="38"/>
        <v>375</v>
      </c>
      <c r="AM36" s="11">
        <f t="shared" si="38"/>
        <v>375</v>
      </c>
      <c r="AN36" s="11">
        <f t="shared" si="38"/>
        <v>375</v>
      </c>
      <c r="AO36" s="11">
        <f t="shared" si="38"/>
        <v>375</v>
      </c>
      <c r="AP36" s="11">
        <f t="shared" si="38"/>
        <v>375</v>
      </c>
      <c r="AQ36" s="11">
        <f t="shared" si="38"/>
        <v>375</v>
      </c>
      <c r="AR36" s="11">
        <f t="shared" si="38"/>
        <v>375</v>
      </c>
      <c r="AS36" s="11">
        <f t="shared" si="38"/>
        <v>375</v>
      </c>
      <c r="AT36" s="11">
        <f t="shared" si="38"/>
        <v>375</v>
      </c>
      <c r="AU36" s="11">
        <f t="shared" si="38"/>
        <v>375</v>
      </c>
      <c r="AV36" s="11">
        <f t="shared" si="38"/>
        <v>375</v>
      </c>
      <c r="AW36" s="208">
        <f t="shared" si="38"/>
        <v>375</v>
      </c>
      <c r="AX36" s="208">
        <f t="shared" si="38"/>
        <v>375</v>
      </c>
      <c r="AY36" s="208">
        <f t="shared" si="38"/>
        <v>375</v>
      </c>
      <c r="AZ36" s="208">
        <f t="shared" si="38"/>
        <v>375</v>
      </c>
      <c r="BA36" s="208">
        <f t="shared" si="38"/>
        <v>375</v>
      </c>
      <c r="BB36" s="208">
        <f t="shared" si="38"/>
        <v>375</v>
      </c>
      <c r="BC36" s="208">
        <f t="shared" si="38"/>
        <v>375</v>
      </c>
      <c r="BD36" s="208">
        <f t="shared" si="38"/>
        <v>375</v>
      </c>
      <c r="BE36" s="208">
        <f t="shared" si="38"/>
        <v>375</v>
      </c>
      <c r="BF36" s="208">
        <f t="shared" si="38"/>
        <v>375</v>
      </c>
      <c r="BG36" s="208">
        <f t="shared" si="38"/>
        <v>375</v>
      </c>
      <c r="BH36" s="208">
        <f t="shared" si="38"/>
        <v>375</v>
      </c>
      <c r="BI36" s="208">
        <f t="shared" si="38"/>
        <v>375</v>
      </c>
      <c r="BJ36" s="11">
        <f t="shared" si="38"/>
        <v>375</v>
      </c>
      <c r="BK36" s="11">
        <f t="shared" si="38"/>
        <v>375</v>
      </c>
      <c r="BL36" s="11">
        <f t="shared" si="38"/>
        <v>375</v>
      </c>
      <c r="BM36" s="11">
        <f t="shared" si="38"/>
        <v>375</v>
      </c>
      <c r="BN36" s="11">
        <f t="shared" si="38"/>
        <v>375</v>
      </c>
      <c r="BO36" s="11">
        <f t="shared" si="38"/>
        <v>375</v>
      </c>
      <c r="BP36" s="11">
        <f t="shared" si="38"/>
        <v>375</v>
      </c>
      <c r="BQ36" s="11">
        <f t="shared" si="38"/>
        <v>375</v>
      </c>
      <c r="BR36" s="11">
        <f t="shared" si="38"/>
        <v>375</v>
      </c>
      <c r="BS36" s="11">
        <f t="shared" si="38"/>
        <v>375</v>
      </c>
      <c r="BT36" s="11">
        <f t="shared" si="38"/>
        <v>375</v>
      </c>
      <c r="BU36" s="11">
        <f t="shared" si="38"/>
        <v>375</v>
      </c>
      <c r="BV36" s="11">
        <f t="shared" si="38"/>
        <v>375</v>
      </c>
      <c r="BW36" s="11">
        <f t="shared" si="38"/>
        <v>375</v>
      </c>
      <c r="BX36" s="11">
        <f t="shared" si="38"/>
        <v>375</v>
      </c>
      <c r="BY36" s="11">
        <f t="shared" si="38"/>
        <v>375</v>
      </c>
      <c r="BZ36" s="11">
        <f t="shared" si="38"/>
        <v>375</v>
      </c>
      <c r="CA36" s="11">
        <f t="shared" si="38"/>
        <v>375</v>
      </c>
      <c r="CB36" s="11">
        <f t="shared" si="38"/>
        <v>375</v>
      </c>
      <c r="CC36" s="11">
        <f t="shared" si="38"/>
        <v>375</v>
      </c>
      <c r="CD36" s="11">
        <f t="shared" si="38"/>
        <v>375</v>
      </c>
    </row>
    <row r="37" spans="1:120" x14ac:dyDescent="0.3">
      <c r="A37">
        <f t="shared" si="2"/>
        <v>34</v>
      </c>
      <c r="B37" s="14">
        <v>44872</v>
      </c>
      <c r="C37" t="s">
        <v>219</v>
      </c>
      <c r="D37" t="s">
        <v>117</v>
      </c>
      <c r="E37" s="9">
        <v>21000</v>
      </c>
      <c r="F37" s="9">
        <f t="shared" si="30"/>
        <v>350</v>
      </c>
      <c r="G37" s="14">
        <v>46691</v>
      </c>
      <c r="H37" s="11">
        <f t="shared" si="4"/>
        <v>0</v>
      </c>
      <c r="X37" s="11">
        <f t="shared" ref="X37:CE37" si="39">$F$37</f>
        <v>350</v>
      </c>
      <c r="Y37" s="11">
        <f t="shared" si="39"/>
        <v>350</v>
      </c>
      <c r="Z37" s="11">
        <f t="shared" si="39"/>
        <v>350</v>
      </c>
      <c r="AA37" s="11">
        <f t="shared" si="39"/>
        <v>350</v>
      </c>
      <c r="AB37" s="11">
        <f t="shared" si="39"/>
        <v>350</v>
      </c>
      <c r="AC37" s="11">
        <f t="shared" si="39"/>
        <v>350</v>
      </c>
      <c r="AD37" s="11">
        <f t="shared" si="39"/>
        <v>350</v>
      </c>
      <c r="AE37" s="11">
        <f t="shared" si="39"/>
        <v>350</v>
      </c>
      <c r="AF37" s="11">
        <f t="shared" si="39"/>
        <v>350</v>
      </c>
      <c r="AG37" s="11">
        <f t="shared" si="39"/>
        <v>350</v>
      </c>
      <c r="AH37" s="11">
        <f t="shared" si="39"/>
        <v>350</v>
      </c>
      <c r="AI37" s="11">
        <f t="shared" si="39"/>
        <v>350</v>
      </c>
      <c r="AJ37" s="11">
        <f t="shared" si="39"/>
        <v>350</v>
      </c>
      <c r="AK37" s="11">
        <f t="shared" si="39"/>
        <v>350</v>
      </c>
      <c r="AL37" s="11">
        <f t="shared" si="39"/>
        <v>350</v>
      </c>
      <c r="AM37" s="11">
        <f t="shared" si="39"/>
        <v>350</v>
      </c>
      <c r="AN37" s="11">
        <f t="shared" si="39"/>
        <v>350</v>
      </c>
      <c r="AO37" s="11">
        <f t="shared" si="39"/>
        <v>350</v>
      </c>
      <c r="AP37" s="11">
        <f t="shared" si="39"/>
        <v>350</v>
      </c>
      <c r="AQ37" s="11">
        <f t="shared" si="39"/>
        <v>350</v>
      </c>
      <c r="AR37" s="11">
        <f t="shared" si="39"/>
        <v>350</v>
      </c>
      <c r="AS37" s="11">
        <f t="shared" si="39"/>
        <v>350</v>
      </c>
      <c r="AT37" s="11">
        <f t="shared" si="39"/>
        <v>350</v>
      </c>
      <c r="AU37" s="11">
        <f t="shared" si="39"/>
        <v>350</v>
      </c>
      <c r="AV37" s="11">
        <f t="shared" si="39"/>
        <v>350</v>
      </c>
      <c r="AW37" s="208">
        <f t="shared" si="39"/>
        <v>350</v>
      </c>
      <c r="AX37" s="208">
        <f t="shared" si="39"/>
        <v>350</v>
      </c>
      <c r="AY37" s="208">
        <f t="shared" si="39"/>
        <v>350</v>
      </c>
      <c r="AZ37" s="208">
        <f t="shared" si="39"/>
        <v>350</v>
      </c>
      <c r="BA37" s="208">
        <f t="shared" si="39"/>
        <v>350</v>
      </c>
      <c r="BB37" s="208">
        <f t="shared" si="39"/>
        <v>350</v>
      </c>
      <c r="BC37" s="208">
        <f t="shared" si="39"/>
        <v>350</v>
      </c>
      <c r="BD37" s="208">
        <f t="shared" si="39"/>
        <v>350</v>
      </c>
      <c r="BE37" s="208">
        <f t="shared" si="39"/>
        <v>350</v>
      </c>
      <c r="BF37" s="208">
        <f t="shared" si="39"/>
        <v>350</v>
      </c>
      <c r="BG37" s="208">
        <f t="shared" si="39"/>
        <v>350</v>
      </c>
      <c r="BH37" s="208">
        <f t="shared" si="39"/>
        <v>350</v>
      </c>
      <c r="BI37" s="208">
        <f t="shared" si="39"/>
        <v>350</v>
      </c>
      <c r="BJ37" s="11">
        <f t="shared" si="39"/>
        <v>350</v>
      </c>
      <c r="BK37" s="11">
        <f t="shared" si="39"/>
        <v>350</v>
      </c>
      <c r="BL37" s="11">
        <f t="shared" si="39"/>
        <v>350</v>
      </c>
      <c r="BM37" s="11">
        <f t="shared" si="39"/>
        <v>350</v>
      </c>
      <c r="BN37" s="11">
        <f t="shared" si="39"/>
        <v>350</v>
      </c>
      <c r="BO37" s="11">
        <f t="shared" si="39"/>
        <v>350</v>
      </c>
      <c r="BP37" s="11">
        <f t="shared" si="39"/>
        <v>350</v>
      </c>
      <c r="BQ37" s="11">
        <f t="shared" si="39"/>
        <v>350</v>
      </c>
      <c r="BR37" s="11">
        <f t="shared" si="39"/>
        <v>350</v>
      </c>
      <c r="BS37" s="11">
        <f t="shared" si="39"/>
        <v>350</v>
      </c>
      <c r="BT37" s="11">
        <f t="shared" si="39"/>
        <v>350</v>
      </c>
      <c r="BU37" s="11">
        <f t="shared" si="39"/>
        <v>350</v>
      </c>
      <c r="BV37" s="11">
        <f t="shared" si="39"/>
        <v>350</v>
      </c>
      <c r="BW37" s="11">
        <f t="shared" si="39"/>
        <v>350</v>
      </c>
      <c r="BX37" s="11">
        <f t="shared" si="39"/>
        <v>350</v>
      </c>
      <c r="BY37" s="11">
        <f t="shared" si="39"/>
        <v>350</v>
      </c>
      <c r="BZ37" s="11">
        <f t="shared" si="39"/>
        <v>350</v>
      </c>
      <c r="CA37" s="11">
        <f t="shared" si="39"/>
        <v>350</v>
      </c>
      <c r="CB37" s="11">
        <f t="shared" si="39"/>
        <v>350</v>
      </c>
      <c r="CC37" s="11">
        <f t="shared" si="39"/>
        <v>350</v>
      </c>
      <c r="CD37" s="11">
        <f t="shared" si="39"/>
        <v>350</v>
      </c>
      <c r="CE37" s="11">
        <f t="shared" si="39"/>
        <v>350</v>
      </c>
    </row>
    <row r="38" spans="1:120" x14ac:dyDescent="0.3">
      <c r="A38">
        <v>35</v>
      </c>
      <c r="B38" s="14">
        <v>44929</v>
      </c>
      <c r="C38" t="s">
        <v>220</v>
      </c>
      <c r="D38" t="s">
        <v>117</v>
      </c>
      <c r="E38" s="9">
        <v>10000</v>
      </c>
      <c r="F38" s="9">
        <f t="shared" si="30"/>
        <v>166.66666666666666</v>
      </c>
      <c r="G38" s="14">
        <v>46722</v>
      </c>
      <c r="H38" s="11">
        <f t="shared" si="4"/>
        <v>0</v>
      </c>
      <c r="Z38" s="11">
        <f t="shared" ref="Z38:CG38" si="40">$F$38</f>
        <v>166.66666666666666</v>
      </c>
      <c r="AA38" s="11">
        <f t="shared" si="40"/>
        <v>166.66666666666666</v>
      </c>
      <c r="AB38" s="11">
        <f t="shared" si="40"/>
        <v>166.66666666666666</v>
      </c>
      <c r="AC38" s="11">
        <f t="shared" si="40"/>
        <v>166.66666666666666</v>
      </c>
      <c r="AD38" s="11">
        <f t="shared" si="40"/>
        <v>166.66666666666666</v>
      </c>
      <c r="AE38" s="11">
        <f t="shared" si="40"/>
        <v>166.66666666666666</v>
      </c>
      <c r="AF38" s="11">
        <f t="shared" si="40"/>
        <v>166.66666666666666</v>
      </c>
      <c r="AG38" s="11">
        <f t="shared" si="40"/>
        <v>166.66666666666666</v>
      </c>
      <c r="AH38" s="11">
        <f t="shared" si="40"/>
        <v>166.66666666666666</v>
      </c>
      <c r="AI38" s="11">
        <f t="shared" si="40"/>
        <v>166.66666666666666</v>
      </c>
      <c r="AJ38" s="11">
        <f t="shared" si="40"/>
        <v>166.66666666666666</v>
      </c>
      <c r="AK38" s="11">
        <f t="shared" si="40"/>
        <v>166.66666666666666</v>
      </c>
      <c r="AL38" s="11">
        <f t="shared" si="40"/>
        <v>166.66666666666666</v>
      </c>
      <c r="AM38" s="11">
        <f t="shared" si="40"/>
        <v>166.66666666666666</v>
      </c>
      <c r="AN38" s="11">
        <f t="shared" si="40"/>
        <v>166.66666666666666</v>
      </c>
      <c r="AO38" s="11">
        <f t="shared" si="40"/>
        <v>166.66666666666666</v>
      </c>
      <c r="AP38" s="11">
        <f t="shared" si="40"/>
        <v>166.66666666666666</v>
      </c>
      <c r="AQ38" s="11">
        <f t="shared" si="40"/>
        <v>166.66666666666666</v>
      </c>
      <c r="AR38" s="11">
        <f t="shared" si="40"/>
        <v>166.66666666666666</v>
      </c>
      <c r="AS38" s="11">
        <f t="shared" si="40"/>
        <v>166.66666666666666</v>
      </c>
      <c r="AT38" s="11">
        <f t="shared" si="40"/>
        <v>166.66666666666666</v>
      </c>
      <c r="AU38" s="11">
        <f t="shared" si="40"/>
        <v>166.66666666666666</v>
      </c>
      <c r="AV38" s="11">
        <f t="shared" si="40"/>
        <v>166.66666666666666</v>
      </c>
      <c r="AW38" s="208">
        <f t="shared" si="40"/>
        <v>166.66666666666666</v>
      </c>
      <c r="AX38" s="208">
        <f t="shared" si="40"/>
        <v>166.66666666666666</v>
      </c>
      <c r="AY38" s="208">
        <f t="shared" si="40"/>
        <v>166.66666666666666</v>
      </c>
      <c r="AZ38" s="208">
        <f t="shared" si="40"/>
        <v>166.66666666666666</v>
      </c>
      <c r="BA38" s="208">
        <f t="shared" si="40"/>
        <v>166.66666666666666</v>
      </c>
      <c r="BB38" s="208">
        <f t="shared" si="40"/>
        <v>166.66666666666666</v>
      </c>
      <c r="BC38" s="208">
        <f t="shared" si="40"/>
        <v>166.66666666666666</v>
      </c>
      <c r="BD38" s="208">
        <f t="shared" si="40"/>
        <v>166.66666666666666</v>
      </c>
      <c r="BE38" s="208">
        <f t="shared" si="40"/>
        <v>166.66666666666666</v>
      </c>
      <c r="BF38" s="208">
        <f t="shared" si="40"/>
        <v>166.66666666666666</v>
      </c>
      <c r="BG38" s="208">
        <f t="shared" si="40"/>
        <v>166.66666666666666</v>
      </c>
      <c r="BH38" s="208">
        <f t="shared" si="40"/>
        <v>166.66666666666666</v>
      </c>
      <c r="BI38" s="208">
        <f t="shared" si="40"/>
        <v>166.66666666666666</v>
      </c>
      <c r="BJ38" s="11">
        <f t="shared" si="40"/>
        <v>166.66666666666666</v>
      </c>
      <c r="BK38" s="11">
        <f t="shared" si="40"/>
        <v>166.66666666666666</v>
      </c>
      <c r="BL38" s="11">
        <f t="shared" si="40"/>
        <v>166.66666666666666</v>
      </c>
      <c r="BM38" s="11">
        <f t="shared" si="40"/>
        <v>166.66666666666666</v>
      </c>
      <c r="BN38" s="11">
        <f t="shared" si="40"/>
        <v>166.66666666666666</v>
      </c>
      <c r="BO38" s="11">
        <f t="shared" si="40"/>
        <v>166.66666666666666</v>
      </c>
      <c r="BP38" s="11">
        <f t="shared" si="40"/>
        <v>166.66666666666666</v>
      </c>
      <c r="BQ38" s="11">
        <f t="shared" si="40"/>
        <v>166.66666666666666</v>
      </c>
      <c r="BR38" s="11">
        <f t="shared" si="40"/>
        <v>166.66666666666666</v>
      </c>
      <c r="BS38" s="11">
        <f t="shared" si="40"/>
        <v>166.66666666666666</v>
      </c>
      <c r="BT38" s="11">
        <f t="shared" si="40"/>
        <v>166.66666666666666</v>
      </c>
      <c r="BU38" s="11">
        <f t="shared" si="40"/>
        <v>166.66666666666666</v>
      </c>
      <c r="BV38" s="11">
        <f t="shared" si="40"/>
        <v>166.66666666666666</v>
      </c>
      <c r="BW38" s="11">
        <f t="shared" si="40"/>
        <v>166.66666666666666</v>
      </c>
      <c r="BX38" s="11">
        <f t="shared" si="40"/>
        <v>166.66666666666666</v>
      </c>
      <c r="BY38" s="11">
        <f t="shared" si="40"/>
        <v>166.66666666666666</v>
      </c>
      <c r="BZ38" s="11">
        <f t="shared" si="40"/>
        <v>166.66666666666666</v>
      </c>
      <c r="CA38" s="11">
        <f t="shared" si="40"/>
        <v>166.66666666666666</v>
      </c>
      <c r="CB38" s="11">
        <f t="shared" si="40"/>
        <v>166.66666666666666</v>
      </c>
      <c r="CC38" s="11">
        <f t="shared" si="40"/>
        <v>166.66666666666666</v>
      </c>
      <c r="CD38" s="11">
        <f t="shared" si="40"/>
        <v>166.66666666666666</v>
      </c>
      <c r="CE38" s="11">
        <f t="shared" si="40"/>
        <v>166.66666666666666</v>
      </c>
      <c r="CF38" s="11">
        <f t="shared" si="40"/>
        <v>166.66666666666666</v>
      </c>
      <c r="CG38" s="11">
        <f t="shared" si="40"/>
        <v>166.66666666666666</v>
      </c>
    </row>
    <row r="39" spans="1:120" x14ac:dyDescent="0.3">
      <c r="A39">
        <v>36</v>
      </c>
      <c r="B39" s="14">
        <v>44929</v>
      </c>
      <c r="C39" t="s">
        <v>220</v>
      </c>
      <c r="D39" t="s">
        <v>197</v>
      </c>
      <c r="E39" s="9">
        <v>8250</v>
      </c>
      <c r="F39" s="9">
        <f>E39/12</f>
        <v>687.5</v>
      </c>
      <c r="G39" s="14">
        <v>45261</v>
      </c>
      <c r="H39" s="11">
        <f t="shared" si="4"/>
        <v>0</v>
      </c>
      <c r="Z39" s="11">
        <f t="shared" ref="Z39:AK39" si="41">$F$39</f>
        <v>687.5</v>
      </c>
      <c r="AA39" s="11">
        <f t="shared" si="41"/>
        <v>687.5</v>
      </c>
      <c r="AB39" s="11">
        <f t="shared" si="41"/>
        <v>687.5</v>
      </c>
      <c r="AC39" s="11">
        <f t="shared" si="41"/>
        <v>687.5</v>
      </c>
      <c r="AD39" s="11">
        <f t="shared" si="41"/>
        <v>687.5</v>
      </c>
      <c r="AE39" s="11">
        <f t="shared" si="41"/>
        <v>687.5</v>
      </c>
      <c r="AF39" s="11">
        <f t="shared" si="41"/>
        <v>687.5</v>
      </c>
      <c r="AG39" s="11">
        <f t="shared" si="41"/>
        <v>687.5</v>
      </c>
      <c r="AH39" s="11">
        <f t="shared" si="41"/>
        <v>687.5</v>
      </c>
      <c r="AI39" s="11">
        <f t="shared" si="41"/>
        <v>687.5</v>
      </c>
      <c r="AJ39" s="11">
        <f t="shared" si="41"/>
        <v>687.5</v>
      </c>
      <c r="AK39" s="11">
        <f t="shared" si="41"/>
        <v>687.5</v>
      </c>
    </row>
    <row r="40" spans="1:120" x14ac:dyDescent="0.3">
      <c r="A40">
        <v>37</v>
      </c>
      <c r="B40" s="14">
        <v>44943</v>
      </c>
      <c r="C40" t="s">
        <v>221</v>
      </c>
      <c r="D40" t="s">
        <v>197</v>
      </c>
      <c r="E40" s="9">
        <v>11000</v>
      </c>
      <c r="F40" s="9">
        <f>E40/12</f>
        <v>916.66666666666663</v>
      </c>
      <c r="G40" s="14">
        <v>45261</v>
      </c>
      <c r="H40" s="11">
        <f t="shared" si="4"/>
        <v>0</v>
      </c>
      <c r="Z40" s="11">
        <f t="shared" ref="Z40:AK40" si="42">$F$40</f>
        <v>916.66666666666663</v>
      </c>
      <c r="AA40" s="11">
        <f t="shared" si="42"/>
        <v>916.66666666666663</v>
      </c>
      <c r="AB40" s="11">
        <f t="shared" si="42"/>
        <v>916.66666666666663</v>
      </c>
      <c r="AC40" s="11">
        <f t="shared" si="42"/>
        <v>916.66666666666663</v>
      </c>
      <c r="AD40" s="11">
        <f t="shared" si="42"/>
        <v>916.66666666666663</v>
      </c>
      <c r="AE40" s="11">
        <f t="shared" si="42"/>
        <v>916.66666666666663</v>
      </c>
      <c r="AF40" s="11">
        <f t="shared" si="42"/>
        <v>916.66666666666663</v>
      </c>
      <c r="AG40" s="11">
        <f t="shared" si="42"/>
        <v>916.66666666666663</v>
      </c>
      <c r="AH40" s="11">
        <f t="shared" si="42"/>
        <v>916.66666666666663</v>
      </c>
      <c r="AI40" s="11">
        <f t="shared" si="42"/>
        <v>916.66666666666663</v>
      </c>
      <c r="AJ40" s="11">
        <f t="shared" si="42"/>
        <v>916.66666666666663</v>
      </c>
      <c r="AK40" s="11">
        <f t="shared" si="42"/>
        <v>916.66666666666663</v>
      </c>
    </row>
    <row r="41" spans="1:120" x14ac:dyDescent="0.3">
      <c r="A41">
        <v>38</v>
      </c>
      <c r="B41" s="14">
        <v>45005</v>
      </c>
      <c r="C41" t="s">
        <v>210</v>
      </c>
      <c r="D41" t="s">
        <v>197</v>
      </c>
      <c r="E41" s="9">
        <v>11000</v>
      </c>
      <c r="F41" s="9">
        <f>E41/12</f>
        <v>916.66666666666663</v>
      </c>
      <c r="G41" s="14">
        <v>45341</v>
      </c>
      <c r="H41" s="11">
        <f t="shared" si="4"/>
        <v>0</v>
      </c>
      <c r="Z41" s="11"/>
      <c r="AA41" s="11"/>
      <c r="AB41" s="11">
        <f t="shared" ref="AB41:AM41" si="43">$F$41</f>
        <v>916.66666666666663</v>
      </c>
      <c r="AC41" s="11">
        <f t="shared" si="43"/>
        <v>916.66666666666663</v>
      </c>
      <c r="AD41" s="11">
        <f t="shared" si="43"/>
        <v>916.66666666666663</v>
      </c>
      <c r="AE41" s="11">
        <f t="shared" si="43"/>
        <v>916.66666666666663</v>
      </c>
      <c r="AF41" s="11">
        <f t="shared" si="43"/>
        <v>916.66666666666663</v>
      </c>
      <c r="AG41" s="11">
        <f t="shared" si="43"/>
        <v>916.66666666666663</v>
      </c>
      <c r="AH41" s="11">
        <f t="shared" si="43"/>
        <v>916.66666666666663</v>
      </c>
      <c r="AI41" s="11">
        <f t="shared" si="43"/>
        <v>916.66666666666663</v>
      </c>
      <c r="AJ41" s="11">
        <f t="shared" si="43"/>
        <v>916.66666666666663</v>
      </c>
      <c r="AK41" s="11">
        <f t="shared" si="43"/>
        <v>916.66666666666663</v>
      </c>
      <c r="AL41" s="11">
        <f t="shared" si="43"/>
        <v>916.66666666666663</v>
      </c>
      <c r="AM41" s="11">
        <f t="shared" si="43"/>
        <v>916.66666666666663</v>
      </c>
    </row>
    <row r="42" spans="1:120" x14ac:dyDescent="0.3">
      <c r="A42">
        <v>39</v>
      </c>
      <c r="B42" s="14">
        <v>45016</v>
      </c>
      <c r="C42" t="s">
        <v>222</v>
      </c>
      <c r="D42" t="s">
        <v>117</v>
      </c>
      <c r="E42" s="19">
        <v>21000</v>
      </c>
      <c r="F42" s="19">
        <f>E42/60</f>
        <v>350</v>
      </c>
      <c r="G42" s="14">
        <v>46842</v>
      </c>
      <c r="H42" s="11">
        <f t="shared" si="4"/>
        <v>0</v>
      </c>
      <c r="Z42" s="11"/>
      <c r="AA42" s="11"/>
      <c r="AB42" s="11"/>
      <c r="AC42" s="11">
        <f t="shared" ref="AC42:CJ42" si="44">$F$42</f>
        <v>350</v>
      </c>
      <c r="AD42" s="11">
        <f t="shared" si="44"/>
        <v>350</v>
      </c>
      <c r="AE42" s="11">
        <f t="shared" si="44"/>
        <v>350</v>
      </c>
      <c r="AF42" s="11">
        <f t="shared" si="44"/>
        <v>350</v>
      </c>
      <c r="AG42" s="11">
        <f t="shared" si="44"/>
        <v>350</v>
      </c>
      <c r="AH42" s="11">
        <f t="shared" si="44"/>
        <v>350</v>
      </c>
      <c r="AI42" s="11">
        <f t="shared" si="44"/>
        <v>350</v>
      </c>
      <c r="AJ42" s="11">
        <f t="shared" si="44"/>
        <v>350</v>
      </c>
      <c r="AK42" s="11">
        <f t="shared" si="44"/>
        <v>350</v>
      </c>
      <c r="AL42" s="11">
        <f t="shared" si="44"/>
        <v>350</v>
      </c>
      <c r="AM42" s="11">
        <f t="shared" si="44"/>
        <v>350</v>
      </c>
      <c r="AN42" s="11">
        <f t="shared" si="44"/>
        <v>350</v>
      </c>
      <c r="AO42" s="11">
        <f t="shared" si="44"/>
        <v>350</v>
      </c>
      <c r="AP42" s="11">
        <f t="shared" si="44"/>
        <v>350</v>
      </c>
      <c r="AQ42" s="11">
        <f t="shared" si="44"/>
        <v>350</v>
      </c>
      <c r="AR42" s="11">
        <f t="shared" si="44"/>
        <v>350</v>
      </c>
      <c r="AS42" s="11">
        <f t="shared" si="44"/>
        <v>350</v>
      </c>
      <c r="AT42" s="11">
        <f t="shared" si="44"/>
        <v>350</v>
      </c>
      <c r="AU42" s="11">
        <f t="shared" si="44"/>
        <v>350</v>
      </c>
      <c r="AV42" s="11">
        <f t="shared" si="44"/>
        <v>350</v>
      </c>
      <c r="AW42" s="208">
        <f t="shared" si="44"/>
        <v>350</v>
      </c>
      <c r="AX42" s="208">
        <f t="shared" si="44"/>
        <v>350</v>
      </c>
      <c r="AY42" s="208">
        <f t="shared" si="44"/>
        <v>350</v>
      </c>
      <c r="AZ42" s="208">
        <f t="shared" si="44"/>
        <v>350</v>
      </c>
      <c r="BA42" s="208">
        <f t="shared" si="44"/>
        <v>350</v>
      </c>
      <c r="BB42" s="208">
        <f t="shared" si="44"/>
        <v>350</v>
      </c>
      <c r="BC42" s="208">
        <f t="shared" si="44"/>
        <v>350</v>
      </c>
      <c r="BD42" s="208">
        <f t="shared" si="44"/>
        <v>350</v>
      </c>
      <c r="BE42" s="208">
        <f t="shared" si="44"/>
        <v>350</v>
      </c>
      <c r="BF42" s="208">
        <f t="shared" si="44"/>
        <v>350</v>
      </c>
      <c r="BG42" s="208">
        <f t="shared" si="44"/>
        <v>350</v>
      </c>
      <c r="BH42" s="208">
        <f t="shared" si="44"/>
        <v>350</v>
      </c>
      <c r="BI42" s="208">
        <f t="shared" si="44"/>
        <v>350</v>
      </c>
      <c r="BJ42" s="11">
        <f t="shared" si="44"/>
        <v>350</v>
      </c>
      <c r="BK42" s="11">
        <f t="shared" si="44"/>
        <v>350</v>
      </c>
      <c r="BL42" s="11">
        <f t="shared" si="44"/>
        <v>350</v>
      </c>
      <c r="BM42" s="11">
        <f t="shared" si="44"/>
        <v>350</v>
      </c>
      <c r="BN42" s="11">
        <f t="shared" si="44"/>
        <v>350</v>
      </c>
      <c r="BO42" s="11">
        <f t="shared" si="44"/>
        <v>350</v>
      </c>
      <c r="BP42" s="11">
        <f t="shared" si="44"/>
        <v>350</v>
      </c>
      <c r="BQ42" s="11">
        <f t="shared" si="44"/>
        <v>350</v>
      </c>
      <c r="BR42" s="11">
        <f t="shared" si="44"/>
        <v>350</v>
      </c>
      <c r="BS42" s="11">
        <f t="shared" si="44"/>
        <v>350</v>
      </c>
      <c r="BT42" s="11">
        <f t="shared" si="44"/>
        <v>350</v>
      </c>
      <c r="BU42" s="11">
        <f t="shared" si="44"/>
        <v>350</v>
      </c>
      <c r="BV42" s="11">
        <f t="shared" si="44"/>
        <v>350</v>
      </c>
      <c r="BW42" s="11">
        <f t="shared" si="44"/>
        <v>350</v>
      </c>
      <c r="BX42" s="11">
        <f t="shared" si="44"/>
        <v>350</v>
      </c>
      <c r="BY42" s="11">
        <f t="shared" si="44"/>
        <v>350</v>
      </c>
      <c r="BZ42" s="11">
        <f t="shared" si="44"/>
        <v>350</v>
      </c>
      <c r="CA42" s="11">
        <f t="shared" si="44"/>
        <v>350</v>
      </c>
      <c r="CB42" s="11">
        <f t="shared" si="44"/>
        <v>350</v>
      </c>
      <c r="CC42" s="11">
        <f t="shared" si="44"/>
        <v>350</v>
      </c>
      <c r="CD42" s="11">
        <f t="shared" si="44"/>
        <v>350</v>
      </c>
      <c r="CE42" s="11">
        <f t="shared" si="44"/>
        <v>350</v>
      </c>
      <c r="CF42" s="11">
        <f t="shared" si="44"/>
        <v>350</v>
      </c>
      <c r="CG42" s="11">
        <f t="shared" si="44"/>
        <v>350</v>
      </c>
      <c r="CH42" s="11">
        <f t="shared" si="44"/>
        <v>350</v>
      </c>
      <c r="CI42" s="11">
        <f t="shared" si="44"/>
        <v>350</v>
      </c>
      <c r="CJ42" s="11">
        <f t="shared" si="44"/>
        <v>350</v>
      </c>
    </row>
    <row r="43" spans="1:120" x14ac:dyDescent="0.3">
      <c r="A43">
        <v>40</v>
      </c>
      <c r="B43" s="14">
        <v>45017</v>
      </c>
      <c r="C43" t="s">
        <v>222</v>
      </c>
      <c r="D43" t="s">
        <v>197</v>
      </c>
      <c r="E43" s="9">
        <v>16500</v>
      </c>
      <c r="F43" s="9">
        <f>E43/12</f>
        <v>1375</v>
      </c>
      <c r="G43" s="14">
        <v>44986</v>
      </c>
      <c r="H43" s="11">
        <f t="shared" si="4"/>
        <v>0</v>
      </c>
      <c r="Z43" s="11"/>
      <c r="AA43" s="11"/>
      <c r="AB43" s="11"/>
      <c r="AC43" s="11">
        <f t="shared" ref="AC43:AN43" si="45">$F$43</f>
        <v>1375</v>
      </c>
      <c r="AD43" s="11">
        <f t="shared" si="45"/>
        <v>1375</v>
      </c>
      <c r="AE43" s="11">
        <f t="shared" si="45"/>
        <v>1375</v>
      </c>
      <c r="AF43" s="11">
        <f t="shared" si="45"/>
        <v>1375</v>
      </c>
      <c r="AG43" s="11">
        <f t="shared" si="45"/>
        <v>1375</v>
      </c>
      <c r="AH43" s="11">
        <f t="shared" si="45"/>
        <v>1375</v>
      </c>
      <c r="AI43" s="11">
        <f t="shared" si="45"/>
        <v>1375</v>
      </c>
      <c r="AJ43" s="11">
        <f t="shared" si="45"/>
        <v>1375</v>
      </c>
      <c r="AK43" s="11">
        <f t="shared" si="45"/>
        <v>1375</v>
      </c>
      <c r="AL43" s="11">
        <f t="shared" si="45"/>
        <v>1375</v>
      </c>
      <c r="AM43" s="11">
        <f t="shared" si="45"/>
        <v>1375</v>
      </c>
      <c r="AN43" s="11">
        <f t="shared" si="45"/>
        <v>1375</v>
      </c>
    </row>
    <row r="44" spans="1:120" x14ac:dyDescent="0.3">
      <c r="A44">
        <v>41</v>
      </c>
      <c r="B44" s="245">
        <v>45043</v>
      </c>
      <c r="C44" s="246" t="s">
        <v>223</v>
      </c>
      <c r="D44" s="246" t="s">
        <v>117</v>
      </c>
      <c r="E44" s="247">
        <v>12000</v>
      </c>
      <c r="F44" s="247">
        <f>E44/12</f>
        <v>1000</v>
      </c>
      <c r="G44" s="245">
        <v>45442</v>
      </c>
      <c r="H44" s="11">
        <f t="shared" si="4"/>
        <v>0</v>
      </c>
      <c r="Z44" s="11"/>
      <c r="AA44" s="11"/>
      <c r="AB44" s="11"/>
      <c r="AC44" s="11"/>
      <c r="AD44" s="11"/>
      <c r="AE44" s="11">
        <f t="shared" ref="AE44:AP44" si="46">$F$44</f>
        <v>1000</v>
      </c>
      <c r="AF44" s="11">
        <f t="shared" si="46"/>
        <v>1000</v>
      </c>
      <c r="AG44" s="11">
        <f t="shared" si="46"/>
        <v>1000</v>
      </c>
      <c r="AH44" s="11">
        <f t="shared" si="46"/>
        <v>1000</v>
      </c>
      <c r="AI44" s="11">
        <f t="shared" si="46"/>
        <v>1000</v>
      </c>
      <c r="AJ44" s="11">
        <f t="shared" si="46"/>
        <v>1000</v>
      </c>
      <c r="AK44" s="11">
        <f t="shared" si="46"/>
        <v>1000</v>
      </c>
      <c r="AL44" s="11">
        <f t="shared" si="46"/>
        <v>1000</v>
      </c>
      <c r="AM44" s="11">
        <f t="shared" si="46"/>
        <v>1000</v>
      </c>
      <c r="AN44" s="11">
        <f t="shared" si="46"/>
        <v>1000</v>
      </c>
      <c r="AO44" s="11">
        <f t="shared" si="46"/>
        <v>1000</v>
      </c>
      <c r="AP44" s="11">
        <f t="shared" si="46"/>
        <v>1000</v>
      </c>
    </row>
    <row r="45" spans="1:120" x14ac:dyDescent="0.3">
      <c r="A45">
        <v>42</v>
      </c>
      <c r="B45" s="245">
        <v>45043</v>
      </c>
      <c r="C45" s="246" t="s">
        <v>223</v>
      </c>
      <c r="D45" s="246" t="s">
        <v>197</v>
      </c>
      <c r="E45" s="247">
        <v>18000</v>
      </c>
      <c r="F45" s="247">
        <f>E45/12</f>
        <v>1500</v>
      </c>
      <c r="G45" s="245">
        <v>45442</v>
      </c>
      <c r="H45" s="11">
        <f t="shared" si="4"/>
        <v>0</v>
      </c>
      <c r="Z45" s="11"/>
      <c r="AA45" s="11"/>
      <c r="AB45" s="11"/>
      <c r="AC45" s="11"/>
      <c r="AD45" s="11"/>
      <c r="AE45" s="11">
        <f t="shared" ref="AE45:AP45" si="47">$F$45</f>
        <v>1500</v>
      </c>
      <c r="AF45" s="11">
        <f t="shared" si="47"/>
        <v>1500</v>
      </c>
      <c r="AG45" s="11">
        <f t="shared" si="47"/>
        <v>1500</v>
      </c>
      <c r="AH45" s="11">
        <f t="shared" si="47"/>
        <v>1500</v>
      </c>
      <c r="AI45" s="11">
        <f t="shared" si="47"/>
        <v>1500</v>
      </c>
      <c r="AJ45" s="11">
        <f t="shared" si="47"/>
        <v>1500</v>
      </c>
      <c r="AK45" s="11">
        <f t="shared" si="47"/>
        <v>1500</v>
      </c>
      <c r="AL45" s="11">
        <f t="shared" si="47"/>
        <v>1500</v>
      </c>
      <c r="AM45" s="11">
        <f t="shared" si="47"/>
        <v>1500</v>
      </c>
      <c r="AN45" s="11">
        <f t="shared" si="47"/>
        <v>1500</v>
      </c>
      <c r="AO45" s="11">
        <f t="shared" si="47"/>
        <v>1500</v>
      </c>
      <c r="AP45" s="11">
        <f t="shared" si="47"/>
        <v>1500</v>
      </c>
    </row>
    <row r="46" spans="1:120" x14ac:dyDescent="0.3">
      <c r="A46">
        <v>43</v>
      </c>
      <c r="B46" s="14">
        <v>45045</v>
      </c>
      <c r="C46" t="s">
        <v>224</v>
      </c>
      <c r="D46" t="s">
        <v>117</v>
      </c>
      <c r="E46" s="19">
        <v>12250</v>
      </c>
      <c r="F46" s="19">
        <f>E46/60</f>
        <v>204.16666666666666</v>
      </c>
      <c r="G46" s="14">
        <v>46873</v>
      </c>
      <c r="H46" s="11">
        <f t="shared" si="4"/>
        <v>0</v>
      </c>
      <c r="Z46" s="11"/>
      <c r="AA46" s="11"/>
      <c r="AB46" s="11"/>
      <c r="AC46" s="11">
        <f t="shared" ref="AC46:CJ46" si="48">$F$46</f>
        <v>204.16666666666666</v>
      </c>
      <c r="AD46" s="11">
        <f t="shared" si="48"/>
        <v>204.16666666666666</v>
      </c>
      <c r="AE46" s="11">
        <f t="shared" si="48"/>
        <v>204.16666666666666</v>
      </c>
      <c r="AF46" s="11">
        <f t="shared" si="48"/>
        <v>204.16666666666666</v>
      </c>
      <c r="AG46" s="11">
        <f t="shared" si="48"/>
        <v>204.16666666666666</v>
      </c>
      <c r="AH46" s="11">
        <f t="shared" si="48"/>
        <v>204.16666666666666</v>
      </c>
      <c r="AI46" s="11">
        <f t="shared" si="48"/>
        <v>204.16666666666666</v>
      </c>
      <c r="AJ46" s="11">
        <f t="shared" si="48"/>
        <v>204.16666666666666</v>
      </c>
      <c r="AK46" s="11">
        <f t="shared" si="48"/>
        <v>204.16666666666666</v>
      </c>
      <c r="AL46" s="11">
        <f t="shared" si="48"/>
        <v>204.16666666666666</v>
      </c>
      <c r="AM46" s="11">
        <f t="shared" si="48"/>
        <v>204.16666666666666</v>
      </c>
      <c r="AN46" s="11">
        <f t="shared" si="48"/>
        <v>204.16666666666666</v>
      </c>
      <c r="AO46" s="11">
        <f t="shared" si="48"/>
        <v>204.16666666666666</v>
      </c>
      <c r="AP46" s="11">
        <f t="shared" si="48"/>
        <v>204.16666666666666</v>
      </c>
      <c r="AQ46" s="11">
        <f t="shared" si="48"/>
        <v>204.16666666666666</v>
      </c>
      <c r="AR46" s="11">
        <f t="shared" si="48"/>
        <v>204.16666666666666</v>
      </c>
      <c r="AS46" s="11">
        <f t="shared" si="48"/>
        <v>204.16666666666666</v>
      </c>
      <c r="AT46" s="11">
        <f t="shared" si="48"/>
        <v>204.16666666666666</v>
      </c>
      <c r="AU46" s="11">
        <f t="shared" si="48"/>
        <v>204.16666666666666</v>
      </c>
      <c r="AV46" s="11">
        <f t="shared" si="48"/>
        <v>204.16666666666666</v>
      </c>
      <c r="AW46" s="208">
        <f t="shared" si="48"/>
        <v>204.16666666666666</v>
      </c>
      <c r="AX46" s="208">
        <f t="shared" si="48"/>
        <v>204.16666666666666</v>
      </c>
      <c r="AY46" s="208">
        <f t="shared" si="48"/>
        <v>204.16666666666666</v>
      </c>
      <c r="AZ46" s="208">
        <f t="shared" si="48"/>
        <v>204.16666666666666</v>
      </c>
      <c r="BA46" s="208">
        <f t="shared" si="48"/>
        <v>204.16666666666666</v>
      </c>
      <c r="BB46" s="208">
        <f t="shared" si="48"/>
        <v>204.16666666666666</v>
      </c>
      <c r="BC46" s="208">
        <f t="shared" si="48"/>
        <v>204.16666666666666</v>
      </c>
      <c r="BD46" s="208">
        <f t="shared" si="48"/>
        <v>204.16666666666666</v>
      </c>
      <c r="BE46" s="208">
        <f t="shared" si="48"/>
        <v>204.16666666666666</v>
      </c>
      <c r="BF46" s="208">
        <f t="shared" si="48"/>
        <v>204.16666666666666</v>
      </c>
      <c r="BG46" s="208">
        <f t="shared" si="48"/>
        <v>204.16666666666666</v>
      </c>
      <c r="BH46" s="208">
        <f t="shared" si="48"/>
        <v>204.16666666666666</v>
      </c>
      <c r="BI46" s="208">
        <f t="shared" si="48"/>
        <v>204.16666666666666</v>
      </c>
      <c r="BJ46" s="11">
        <f t="shared" si="48"/>
        <v>204.16666666666666</v>
      </c>
      <c r="BK46" s="11">
        <f t="shared" si="48"/>
        <v>204.16666666666666</v>
      </c>
      <c r="BL46" s="11">
        <f t="shared" si="48"/>
        <v>204.16666666666666</v>
      </c>
      <c r="BM46" s="11">
        <f t="shared" si="48"/>
        <v>204.16666666666666</v>
      </c>
      <c r="BN46" s="11">
        <f t="shared" si="48"/>
        <v>204.16666666666666</v>
      </c>
      <c r="BO46" s="11">
        <f t="shared" si="48"/>
        <v>204.16666666666666</v>
      </c>
      <c r="BP46" s="11">
        <f t="shared" si="48"/>
        <v>204.16666666666666</v>
      </c>
      <c r="BQ46" s="11">
        <f t="shared" si="48"/>
        <v>204.16666666666666</v>
      </c>
      <c r="BR46" s="11">
        <f t="shared" si="48"/>
        <v>204.16666666666666</v>
      </c>
      <c r="BS46" s="11">
        <f t="shared" si="48"/>
        <v>204.16666666666666</v>
      </c>
      <c r="BT46" s="11">
        <f t="shared" si="48"/>
        <v>204.16666666666666</v>
      </c>
      <c r="BU46" s="11">
        <f t="shared" si="48"/>
        <v>204.16666666666666</v>
      </c>
      <c r="BV46" s="11">
        <f t="shared" si="48"/>
        <v>204.16666666666666</v>
      </c>
      <c r="BW46" s="11">
        <f t="shared" si="48"/>
        <v>204.16666666666666</v>
      </c>
      <c r="BX46" s="11">
        <f t="shared" si="48"/>
        <v>204.16666666666666</v>
      </c>
      <c r="BY46" s="11">
        <f t="shared" si="48"/>
        <v>204.16666666666666</v>
      </c>
      <c r="BZ46" s="11">
        <f t="shared" si="48"/>
        <v>204.16666666666666</v>
      </c>
      <c r="CA46" s="11">
        <f t="shared" si="48"/>
        <v>204.16666666666666</v>
      </c>
      <c r="CB46" s="11">
        <f t="shared" si="48"/>
        <v>204.16666666666666</v>
      </c>
      <c r="CC46" s="11">
        <f t="shared" si="48"/>
        <v>204.16666666666666</v>
      </c>
      <c r="CD46" s="11">
        <f t="shared" si="48"/>
        <v>204.16666666666666</v>
      </c>
      <c r="CE46" s="11">
        <f t="shared" si="48"/>
        <v>204.16666666666666</v>
      </c>
      <c r="CF46" s="11">
        <f t="shared" si="48"/>
        <v>204.16666666666666</v>
      </c>
      <c r="CG46" s="11">
        <f t="shared" si="48"/>
        <v>204.16666666666666</v>
      </c>
      <c r="CH46" s="11">
        <f t="shared" si="48"/>
        <v>204.16666666666666</v>
      </c>
      <c r="CI46" s="11">
        <f t="shared" si="48"/>
        <v>204.16666666666666</v>
      </c>
      <c r="CJ46" s="11">
        <f t="shared" si="48"/>
        <v>204.16666666666666</v>
      </c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</row>
    <row r="47" spans="1:120" x14ac:dyDescent="0.3">
      <c r="A47">
        <v>44</v>
      </c>
      <c r="B47" s="14">
        <v>45045</v>
      </c>
      <c r="C47" t="s">
        <v>224</v>
      </c>
      <c r="D47" t="s">
        <v>197</v>
      </c>
      <c r="E47" s="9">
        <v>9185</v>
      </c>
      <c r="F47" s="19">
        <f>E47/12</f>
        <v>765.41666666666663</v>
      </c>
      <c r="G47" s="14">
        <v>45382</v>
      </c>
      <c r="H47" s="11">
        <f t="shared" si="4"/>
        <v>0</v>
      </c>
      <c r="AC47" s="11">
        <f t="shared" ref="AC47:AN47" si="49">$F$47</f>
        <v>765.41666666666663</v>
      </c>
      <c r="AD47" s="11">
        <f t="shared" si="49"/>
        <v>765.41666666666663</v>
      </c>
      <c r="AE47" s="11">
        <f t="shared" si="49"/>
        <v>765.41666666666663</v>
      </c>
      <c r="AF47" s="11">
        <f t="shared" si="49"/>
        <v>765.41666666666663</v>
      </c>
      <c r="AG47" s="11">
        <f t="shared" si="49"/>
        <v>765.41666666666663</v>
      </c>
      <c r="AH47" s="11">
        <f t="shared" si="49"/>
        <v>765.41666666666663</v>
      </c>
      <c r="AI47" s="11">
        <f t="shared" si="49"/>
        <v>765.41666666666663</v>
      </c>
      <c r="AJ47" s="11">
        <f t="shared" si="49"/>
        <v>765.41666666666663</v>
      </c>
      <c r="AK47" s="11">
        <f t="shared" si="49"/>
        <v>765.41666666666663</v>
      </c>
      <c r="AL47" s="11">
        <f t="shared" si="49"/>
        <v>765.41666666666663</v>
      </c>
      <c r="AM47" s="11">
        <f t="shared" si="49"/>
        <v>765.41666666666663</v>
      </c>
      <c r="AN47" s="11">
        <f t="shared" si="49"/>
        <v>765.41666666666663</v>
      </c>
    </row>
    <row r="48" spans="1:120" x14ac:dyDescent="0.3">
      <c r="A48">
        <v>45</v>
      </c>
      <c r="B48" s="14">
        <v>45047</v>
      </c>
      <c r="C48" t="s">
        <v>225</v>
      </c>
      <c r="D48" t="s">
        <v>117</v>
      </c>
      <c r="E48" s="9">
        <v>12250</v>
      </c>
      <c r="F48" s="19">
        <f>E48/60</f>
        <v>204.16666666666666</v>
      </c>
      <c r="G48" s="14">
        <v>46871</v>
      </c>
      <c r="H48" s="11">
        <f t="shared" si="4"/>
        <v>0</v>
      </c>
      <c r="AC48" s="11"/>
      <c r="AD48" s="11">
        <f t="shared" ref="AD48:CK48" si="50">$F$48</f>
        <v>204.16666666666666</v>
      </c>
      <c r="AE48" s="11">
        <f t="shared" si="50"/>
        <v>204.16666666666666</v>
      </c>
      <c r="AF48" s="11">
        <f t="shared" si="50"/>
        <v>204.16666666666666</v>
      </c>
      <c r="AG48" s="11">
        <f t="shared" si="50"/>
        <v>204.16666666666666</v>
      </c>
      <c r="AH48" s="11">
        <f t="shared" si="50"/>
        <v>204.16666666666666</v>
      </c>
      <c r="AI48" s="11">
        <f t="shared" si="50"/>
        <v>204.16666666666666</v>
      </c>
      <c r="AJ48" s="11">
        <f t="shared" si="50"/>
        <v>204.16666666666666</v>
      </c>
      <c r="AK48" s="11">
        <f t="shared" si="50"/>
        <v>204.16666666666666</v>
      </c>
      <c r="AL48" s="11">
        <f t="shared" si="50"/>
        <v>204.16666666666666</v>
      </c>
      <c r="AM48" s="11">
        <f t="shared" si="50"/>
        <v>204.16666666666666</v>
      </c>
      <c r="AN48" s="11">
        <f t="shared" si="50"/>
        <v>204.16666666666666</v>
      </c>
      <c r="AO48" s="11">
        <f t="shared" si="50"/>
        <v>204.16666666666666</v>
      </c>
      <c r="AP48" s="11">
        <f t="shared" si="50"/>
        <v>204.16666666666666</v>
      </c>
      <c r="AQ48" s="11">
        <f t="shared" si="50"/>
        <v>204.16666666666666</v>
      </c>
      <c r="AR48" s="11">
        <f t="shared" si="50"/>
        <v>204.16666666666666</v>
      </c>
      <c r="AS48" s="11">
        <f t="shared" si="50"/>
        <v>204.16666666666666</v>
      </c>
      <c r="AT48" s="11">
        <f t="shared" si="50"/>
        <v>204.16666666666666</v>
      </c>
      <c r="AU48" s="11">
        <f t="shared" si="50"/>
        <v>204.16666666666666</v>
      </c>
      <c r="AV48" s="11">
        <f t="shared" si="50"/>
        <v>204.16666666666666</v>
      </c>
      <c r="AW48" s="208">
        <f t="shared" si="50"/>
        <v>204.16666666666666</v>
      </c>
      <c r="AX48" s="208">
        <f t="shared" si="50"/>
        <v>204.16666666666666</v>
      </c>
      <c r="AY48" s="208">
        <f t="shared" si="50"/>
        <v>204.16666666666666</v>
      </c>
      <c r="AZ48" s="208">
        <f t="shared" si="50"/>
        <v>204.16666666666666</v>
      </c>
      <c r="BA48" s="208">
        <f t="shared" si="50"/>
        <v>204.16666666666666</v>
      </c>
      <c r="BB48" s="208">
        <f t="shared" si="50"/>
        <v>204.16666666666666</v>
      </c>
      <c r="BC48" s="208">
        <f t="shared" si="50"/>
        <v>204.16666666666666</v>
      </c>
      <c r="BD48" s="208">
        <f t="shared" si="50"/>
        <v>204.16666666666666</v>
      </c>
      <c r="BE48" s="208">
        <f t="shared" si="50"/>
        <v>204.16666666666666</v>
      </c>
      <c r="BF48" s="208">
        <f t="shared" si="50"/>
        <v>204.16666666666666</v>
      </c>
      <c r="BG48" s="208">
        <f t="shared" si="50"/>
        <v>204.16666666666666</v>
      </c>
      <c r="BH48" s="208">
        <f t="shared" si="50"/>
        <v>204.16666666666666</v>
      </c>
      <c r="BI48" s="208">
        <f t="shared" si="50"/>
        <v>204.16666666666666</v>
      </c>
      <c r="BJ48" s="11">
        <f t="shared" si="50"/>
        <v>204.16666666666666</v>
      </c>
      <c r="BK48" s="11">
        <f t="shared" si="50"/>
        <v>204.16666666666666</v>
      </c>
      <c r="BL48" s="11">
        <f t="shared" si="50"/>
        <v>204.16666666666666</v>
      </c>
      <c r="BM48" s="11">
        <f t="shared" si="50"/>
        <v>204.16666666666666</v>
      </c>
      <c r="BN48" s="11">
        <f t="shared" si="50"/>
        <v>204.16666666666666</v>
      </c>
      <c r="BO48" s="11">
        <f t="shared" si="50"/>
        <v>204.16666666666666</v>
      </c>
      <c r="BP48" s="11">
        <f t="shared" si="50"/>
        <v>204.16666666666666</v>
      </c>
      <c r="BQ48" s="11">
        <f t="shared" si="50"/>
        <v>204.16666666666666</v>
      </c>
      <c r="BR48" s="11">
        <f t="shared" si="50"/>
        <v>204.16666666666666</v>
      </c>
      <c r="BS48" s="11">
        <f t="shared" si="50"/>
        <v>204.16666666666666</v>
      </c>
      <c r="BT48" s="11">
        <f t="shared" si="50"/>
        <v>204.16666666666666</v>
      </c>
      <c r="BU48" s="11">
        <f t="shared" si="50"/>
        <v>204.16666666666666</v>
      </c>
      <c r="BV48" s="11">
        <f t="shared" si="50"/>
        <v>204.16666666666666</v>
      </c>
      <c r="BW48" s="11">
        <f t="shared" si="50"/>
        <v>204.16666666666666</v>
      </c>
      <c r="BX48" s="11">
        <f t="shared" si="50"/>
        <v>204.16666666666666</v>
      </c>
      <c r="BY48" s="11">
        <f t="shared" si="50"/>
        <v>204.16666666666666</v>
      </c>
      <c r="BZ48" s="11">
        <f t="shared" si="50"/>
        <v>204.16666666666666</v>
      </c>
      <c r="CA48" s="11">
        <f t="shared" si="50"/>
        <v>204.16666666666666</v>
      </c>
      <c r="CB48" s="11">
        <f t="shared" si="50"/>
        <v>204.16666666666666</v>
      </c>
      <c r="CC48" s="11">
        <f t="shared" si="50"/>
        <v>204.16666666666666</v>
      </c>
      <c r="CD48" s="11">
        <f t="shared" si="50"/>
        <v>204.16666666666666</v>
      </c>
      <c r="CE48" s="11">
        <f t="shared" si="50"/>
        <v>204.16666666666666</v>
      </c>
      <c r="CF48" s="11">
        <f t="shared" si="50"/>
        <v>204.16666666666666</v>
      </c>
      <c r="CG48" s="11">
        <f t="shared" si="50"/>
        <v>204.16666666666666</v>
      </c>
      <c r="CH48" s="11">
        <f t="shared" si="50"/>
        <v>204.16666666666666</v>
      </c>
      <c r="CI48" s="11">
        <f t="shared" si="50"/>
        <v>204.16666666666666</v>
      </c>
      <c r="CJ48" s="11">
        <f t="shared" si="50"/>
        <v>204.16666666666666</v>
      </c>
      <c r="CK48" s="11">
        <f t="shared" si="50"/>
        <v>204.16666666666666</v>
      </c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</row>
    <row r="49" spans="1:96" x14ac:dyDescent="0.3">
      <c r="A49">
        <v>46</v>
      </c>
      <c r="B49" s="14">
        <v>45047</v>
      </c>
      <c r="C49" t="s">
        <v>225</v>
      </c>
      <c r="D49" t="s">
        <v>197</v>
      </c>
      <c r="E49" s="9">
        <v>9350</v>
      </c>
      <c r="F49" s="19">
        <f>E49/12</f>
        <v>779.16666666666663</v>
      </c>
      <c r="G49" s="14">
        <v>45412</v>
      </c>
      <c r="H49" s="11">
        <f t="shared" si="4"/>
        <v>0</v>
      </c>
      <c r="AC49" s="11"/>
      <c r="AD49" s="11">
        <f t="shared" ref="AD49:AO49" si="51">$F$49</f>
        <v>779.16666666666663</v>
      </c>
      <c r="AE49" s="11">
        <f t="shared" si="51"/>
        <v>779.16666666666663</v>
      </c>
      <c r="AF49" s="11">
        <f t="shared" si="51"/>
        <v>779.16666666666663</v>
      </c>
      <c r="AG49" s="11">
        <f t="shared" si="51"/>
        <v>779.16666666666663</v>
      </c>
      <c r="AH49" s="11">
        <f t="shared" si="51"/>
        <v>779.16666666666663</v>
      </c>
      <c r="AI49" s="11">
        <f t="shared" si="51"/>
        <v>779.16666666666663</v>
      </c>
      <c r="AJ49" s="11">
        <f t="shared" si="51"/>
        <v>779.16666666666663</v>
      </c>
      <c r="AK49" s="11">
        <f t="shared" si="51"/>
        <v>779.16666666666663</v>
      </c>
      <c r="AL49" s="11">
        <f t="shared" si="51"/>
        <v>779.16666666666663</v>
      </c>
      <c r="AM49" s="11">
        <f t="shared" si="51"/>
        <v>779.16666666666663</v>
      </c>
      <c r="AN49" s="11">
        <f t="shared" si="51"/>
        <v>779.16666666666663</v>
      </c>
      <c r="AO49" s="11">
        <f t="shared" si="51"/>
        <v>779.16666666666663</v>
      </c>
    </row>
    <row r="50" spans="1:96" x14ac:dyDescent="0.3">
      <c r="A50">
        <v>47</v>
      </c>
      <c r="B50" s="14">
        <v>45049</v>
      </c>
      <c r="C50" t="s">
        <v>226</v>
      </c>
      <c r="D50" t="s">
        <v>117</v>
      </c>
      <c r="E50" s="9">
        <v>10500</v>
      </c>
      <c r="F50" s="19">
        <f>E50/60</f>
        <v>175</v>
      </c>
      <c r="G50" s="14">
        <v>46873</v>
      </c>
      <c r="H50" s="11">
        <f t="shared" si="4"/>
        <v>0</v>
      </c>
      <c r="AC50" s="11"/>
      <c r="AD50" s="11">
        <f t="shared" ref="AD50:CK50" si="52">$F$50</f>
        <v>175</v>
      </c>
      <c r="AE50" s="11">
        <f t="shared" si="52"/>
        <v>175</v>
      </c>
      <c r="AF50" s="11">
        <f t="shared" si="52"/>
        <v>175</v>
      </c>
      <c r="AG50" s="11">
        <f t="shared" si="52"/>
        <v>175</v>
      </c>
      <c r="AH50" s="11">
        <f t="shared" si="52"/>
        <v>175</v>
      </c>
      <c r="AI50" s="11">
        <f t="shared" si="52"/>
        <v>175</v>
      </c>
      <c r="AJ50" s="11">
        <f t="shared" si="52"/>
        <v>175</v>
      </c>
      <c r="AK50" s="11">
        <f t="shared" si="52"/>
        <v>175</v>
      </c>
      <c r="AL50" s="11">
        <f t="shared" si="52"/>
        <v>175</v>
      </c>
      <c r="AM50" s="11">
        <f t="shared" si="52"/>
        <v>175</v>
      </c>
      <c r="AN50" s="11">
        <f t="shared" si="52"/>
        <v>175</v>
      </c>
      <c r="AO50" s="11">
        <f t="shared" si="52"/>
        <v>175</v>
      </c>
      <c r="AP50" s="11">
        <f t="shared" si="52"/>
        <v>175</v>
      </c>
      <c r="AQ50" s="11">
        <f t="shared" si="52"/>
        <v>175</v>
      </c>
      <c r="AR50" s="11">
        <f t="shared" si="52"/>
        <v>175</v>
      </c>
      <c r="AS50" s="11">
        <f t="shared" si="52"/>
        <v>175</v>
      </c>
      <c r="AT50" s="11">
        <f t="shared" si="52"/>
        <v>175</v>
      </c>
      <c r="AU50" s="11">
        <f t="shared" si="52"/>
        <v>175</v>
      </c>
      <c r="AV50" s="11">
        <f t="shared" si="52"/>
        <v>175</v>
      </c>
      <c r="AW50" s="208">
        <f t="shared" si="52"/>
        <v>175</v>
      </c>
      <c r="AX50" s="208">
        <f t="shared" si="52"/>
        <v>175</v>
      </c>
      <c r="AY50" s="208">
        <f t="shared" si="52"/>
        <v>175</v>
      </c>
      <c r="AZ50" s="208">
        <f t="shared" si="52"/>
        <v>175</v>
      </c>
      <c r="BA50" s="208">
        <f t="shared" si="52"/>
        <v>175</v>
      </c>
      <c r="BB50" s="208">
        <f t="shared" si="52"/>
        <v>175</v>
      </c>
      <c r="BC50" s="208">
        <f t="shared" si="52"/>
        <v>175</v>
      </c>
      <c r="BD50" s="208">
        <f t="shared" si="52"/>
        <v>175</v>
      </c>
      <c r="BE50" s="208">
        <f t="shared" si="52"/>
        <v>175</v>
      </c>
      <c r="BF50" s="208">
        <f t="shared" si="52"/>
        <v>175</v>
      </c>
      <c r="BG50" s="208">
        <f t="shared" si="52"/>
        <v>175</v>
      </c>
      <c r="BH50" s="208">
        <f t="shared" si="52"/>
        <v>175</v>
      </c>
      <c r="BI50" s="208">
        <f t="shared" si="52"/>
        <v>175</v>
      </c>
      <c r="BJ50" s="11">
        <f t="shared" si="52"/>
        <v>175</v>
      </c>
      <c r="BK50" s="11">
        <f t="shared" si="52"/>
        <v>175</v>
      </c>
      <c r="BL50" s="11">
        <f t="shared" si="52"/>
        <v>175</v>
      </c>
      <c r="BM50" s="11">
        <f t="shared" si="52"/>
        <v>175</v>
      </c>
      <c r="BN50" s="11">
        <f t="shared" si="52"/>
        <v>175</v>
      </c>
      <c r="BO50" s="11">
        <f t="shared" si="52"/>
        <v>175</v>
      </c>
      <c r="BP50" s="11">
        <f t="shared" si="52"/>
        <v>175</v>
      </c>
      <c r="BQ50" s="11">
        <f t="shared" si="52"/>
        <v>175</v>
      </c>
      <c r="BR50" s="11">
        <f t="shared" si="52"/>
        <v>175</v>
      </c>
      <c r="BS50" s="11">
        <f t="shared" si="52"/>
        <v>175</v>
      </c>
      <c r="BT50" s="11">
        <f t="shared" si="52"/>
        <v>175</v>
      </c>
      <c r="BU50" s="11">
        <f t="shared" si="52"/>
        <v>175</v>
      </c>
      <c r="BV50" s="11">
        <f t="shared" si="52"/>
        <v>175</v>
      </c>
      <c r="BW50" s="11">
        <f t="shared" si="52"/>
        <v>175</v>
      </c>
      <c r="BX50" s="11">
        <f t="shared" si="52"/>
        <v>175</v>
      </c>
      <c r="BY50" s="11">
        <f t="shared" si="52"/>
        <v>175</v>
      </c>
      <c r="BZ50" s="11">
        <f t="shared" si="52"/>
        <v>175</v>
      </c>
      <c r="CA50" s="11">
        <f t="shared" si="52"/>
        <v>175</v>
      </c>
      <c r="CB50" s="11">
        <f t="shared" si="52"/>
        <v>175</v>
      </c>
      <c r="CC50" s="11">
        <f t="shared" si="52"/>
        <v>175</v>
      </c>
      <c r="CD50" s="11">
        <f t="shared" si="52"/>
        <v>175</v>
      </c>
      <c r="CE50" s="11">
        <f t="shared" si="52"/>
        <v>175</v>
      </c>
      <c r="CF50" s="11">
        <f t="shared" si="52"/>
        <v>175</v>
      </c>
      <c r="CG50" s="11">
        <f t="shared" si="52"/>
        <v>175</v>
      </c>
      <c r="CH50" s="11">
        <f t="shared" si="52"/>
        <v>175</v>
      </c>
      <c r="CI50" s="11">
        <f t="shared" si="52"/>
        <v>175</v>
      </c>
      <c r="CJ50" s="11">
        <f t="shared" si="52"/>
        <v>175</v>
      </c>
      <c r="CK50" s="11">
        <f t="shared" si="52"/>
        <v>175</v>
      </c>
    </row>
    <row r="51" spans="1:96" x14ac:dyDescent="0.3">
      <c r="A51">
        <v>48</v>
      </c>
      <c r="B51" s="14">
        <v>45049</v>
      </c>
      <c r="C51" t="s">
        <v>226</v>
      </c>
      <c r="D51" t="s">
        <v>197</v>
      </c>
      <c r="E51" s="9">
        <v>9515</v>
      </c>
      <c r="F51" s="19">
        <f>E51/12</f>
        <v>792.91666666666663</v>
      </c>
      <c r="G51" s="14">
        <v>45412</v>
      </c>
      <c r="H51" s="11">
        <f t="shared" si="4"/>
        <v>0</v>
      </c>
      <c r="AC51" s="11"/>
      <c r="AD51" s="11">
        <f t="shared" ref="AD51:AO51" si="53">$F$51</f>
        <v>792.91666666666663</v>
      </c>
      <c r="AE51" s="11">
        <f t="shared" si="53"/>
        <v>792.91666666666663</v>
      </c>
      <c r="AF51" s="11">
        <f t="shared" si="53"/>
        <v>792.91666666666663</v>
      </c>
      <c r="AG51" s="11">
        <f t="shared" si="53"/>
        <v>792.91666666666663</v>
      </c>
      <c r="AH51" s="11">
        <f t="shared" si="53"/>
        <v>792.91666666666663</v>
      </c>
      <c r="AI51" s="11">
        <f t="shared" si="53"/>
        <v>792.91666666666663</v>
      </c>
      <c r="AJ51" s="11">
        <f t="shared" si="53"/>
        <v>792.91666666666663</v>
      </c>
      <c r="AK51" s="11">
        <f t="shared" si="53"/>
        <v>792.91666666666663</v>
      </c>
      <c r="AL51" s="11">
        <f t="shared" si="53"/>
        <v>792.91666666666663</v>
      </c>
      <c r="AM51" s="11">
        <f t="shared" si="53"/>
        <v>792.91666666666663</v>
      </c>
      <c r="AN51" s="11">
        <f t="shared" si="53"/>
        <v>792.91666666666663</v>
      </c>
      <c r="AO51" s="11">
        <f t="shared" si="53"/>
        <v>792.91666666666663</v>
      </c>
    </row>
    <row r="52" spans="1:96" x14ac:dyDescent="0.3">
      <c r="A52">
        <v>49</v>
      </c>
      <c r="B52" s="14">
        <v>45077</v>
      </c>
      <c r="C52" t="s">
        <v>227</v>
      </c>
      <c r="D52" t="s">
        <v>117</v>
      </c>
      <c r="E52" s="9">
        <v>12250</v>
      </c>
      <c r="F52" s="19">
        <f>E52/30</f>
        <v>408.33333333333331</v>
      </c>
      <c r="G52" s="14">
        <v>46873</v>
      </c>
      <c r="H52" s="11">
        <f t="shared" si="4"/>
        <v>0</v>
      </c>
      <c r="AD52" s="11">
        <f t="shared" ref="AD52:BG52" si="54">$F$52</f>
        <v>408.33333333333331</v>
      </c>
      <c r="AE52" s="11">
        <f t="shared" si="54"/>
        <v>408.33333333333331</v>
      </c>
      <c r="AF52" s="11">
        <f t="shared" si="54"/>
        <v>408.33333333333331</v>
      </c>
      <c r="AG52" s="11">
        <f t="shared" si="54"/>
        <v>408.33333333333331</v>
      </c>
      <c r="AH52" s="11">
        <f t="shared" si="54"/>
        <v>408.33333333333331</v>
      </c>
      <c r="AI52" s="11">
        <f t="shared" si="54"/>
        <v>408.33333333333331</v>
      </c>
      <c r="AJ52" s="11">
        <f t="shared" si="54"/>
        <v>408.33333333333331</v>
      </c>
      <c r="AK52" s="11">
        <f t="shared" si="54"/>
        <v>408.33333333333331</v>
      </c>
      <c r="AL52" s="11">
        <f t="shared" si="54"/>
        <v>408.33333333333331</v>
      </c>
      <c r="AM52" s="11">
        <f t="shared" si="54"/>
        <v>408.33333333333331</v>
      </c>
      <c r="AN52" s="11">
        <f t="shared" si="54"/>
        <v>408.33333333333331</v>
      </c>
      <c r="AO52" s="11">
        <f t="shared" si="54"/>
        <v>408.33333333333331</v>
      </c>
      <c r="AP52" s="11">
        <f t="shared" si="54"/>
        <v>408.33333333333331</v>
      </c>
      <c r="AQ52" s="11">
        <f t="shared" si="54"/>
        <v>408.33333333333331</v>
      </c>
      <c r="AR52" s="11">
        <f t="shared" si="54"/>
        <v>408.33333333333331</v>
      </c>
      <c r="AS52" s="11">
        <f t="shared" si="54"/>
        <v>408.33333333333331</v>
      </c>
      <c r="AT52" s="11">
        <f t="shared" si="54"/>
        <v>408.33333333333331</v>
      </c>
      <c r="AU52" s="11">
        <f t="shared" si="54"/>
        <v>408.33333333333331</v>
      </c>
      <c r="AV52" s="11">
        <f t="shared" si="54"/>
        <v>408.33333333333331</v>
      </c>
      <c r="AW52" s="208">
        <f t="shared" si="54"/>
        <v>408.33333333333331</v>
      </c>
      <c r="AX52" s="208">
        <f t="shared" si="54"/>
        <v>408.33333333333331</v>
      </c>
      <c r="AY52" s="208">
        <f t="shared" si="54"/>
        <v>408.33333333333331</v>
      </c>
      <c r="AZ52" s="208">
        <f t="shared" si="54"/>
        <v>408.33333333333331</v>
      </c>
      <c r="BA52" s="208">
        <f t="shared" si="54"/>
        <v>408.33333333333331</v>
      </c>
      <c r="BB52" s="208">
        <f t="shared" si="54"/>
        <v>408.33333333333331</v>
      </c>
      <c r="BC52" s="208">
        <f t="shared" si="54"/>
        <v>408.33333333333331</v>
      </c>
      <c r="BD52" s="208">
        <f t="shared" si="54"/>
        <v>408.33333333333331</v>
      </c>
      <c r="BE52" s="208">
        <f t="shared" si="54"/>
        <v>408.33333333333331</v>
      </c>
      <c r="BF52" s="208">
        <f t="shared" si="54"/>
        <v>408.33333333333331</v>
      </c>
      <c r="BG52" s="208">
        <f t="shared" si="54"/>
        <v>408.33333333333331</v>
      </c>
      <c r="BH52" s="208"/>
      <c r="BI52" s="208"/>
    </row>
    <row r="53" spans="1:96" x14ac:dyDescent="0.3">
      <c r="A53">
        <v>50</v>
      </c>
      <c r="B53" s="14">
        <v>45077</v>
      </c>
      <c r="C53" t="s">
        <v>228</v>
      </c>
      <c r="D53" t="s">
        <v>117</v>
      </c>
      <c r="E53" s="9">
        <v>12250</v>
      </c>
      <c r="F53" s="19">
        <f>E53/60</f>
        <v>204.16666666666666</v>
      </c>
      <c r="G53" s="14">
        <v>46873</v>
      </c>
      <c r="H53" s="11">
        <f t="shared" si="4"/>
        <v>0</v>
      </c>
      <c r="AD53" s="11"/>
      <c r="AE53" s="11">
        <f t="shared" ref="AE53:CL53" si="55">$F$53</f>
        <v>204.16666666666666</v>
      </c>
      <c r="AF53" s="11">
        <f t="shared" si="55"/>
        <v>204.16666666666666</v>
      </c>
      <c r="AG53" s="11">
        <f t="shared" si="55"/>
        <v>204.16666666666666</v>
      </c>
      <c r="AH53" s="11">
        <f t="shared" si="55"/>
        <v>204.16666666666666</v>
      </c>
      <c r="AI53" s="11">
        <f t="shared" si="55"/>
        <v>204.16666666666666</v>
      </c>
      <c r="AJ53" s="11">
        <f t="shared" si="55"/>
        <v>204.16666666666666</v>
      </c>
      <c r="AK53" s="11">
        <f t="shared" si="55"/>
        <v>204.16666666666666</v>
      </c>
      <c r="AL53" s="11">
        <f t="shared" si="55"/>
        <v>204.16666666666666</v>
      </c>
      <c r="AM53" s="11">
        <f t="shared" si="55"/>
        <v>204.16666666666666</v>
      </c>
      <c r="AN53" s="11">
        <f t="shared" si="55"/>
        <v>204.16666666666666</v>
      </c>
      <c r="AO53" s="11">
        <f t="shared" si="55"/>
        <v>204.16666666666666</v>
      </c>
      <c r="AP53" s="11">
        <f t="shared" si="55"/>
        <v>204.16666666666666</v>
      </c>
      <c r="AQ53" s="11">
        <f t="shared" si="55"/>
        <v>204.16666666666666</v>
      </c>
      <c r="AR53" s="11">
        <f t="shared" si="55"/>
        <v>204.16666666666666</v>
      </c>
      <c r="AS53" s="11">
        <f t="shared" si="55"/>
        <v>204.16666666666666</v>
      </c>
      <c r="AT53" s="11">
        <f t="shared" si="55"/>
        <v>204.16666666666666</v>
      </c>
      <c r="AU53" s="11">
        <f t="shared" si="55"/>
        <v>204.16666666666666</v>
      </c>
      <c r="AV53" s="11">
        <f t="shared" si="55"/>
        <v>204.16666666666666</v>
      </c>
      <c r="AW53" s="208">
        <f t="shared" si="55"/>
        <v>204.16666666666666</v>
      </c>
      <c r="AX53" s="208">
        <f t="shared" si="55"/>
        <v>204.16666666666666</v>
      </c>
      <c r="AY53" s="208">
        <f t="shared" si="55"/>
        <v>204.16666666666666</v>
      </c>
      <c r="AZ53" s="208">
        <f t="shared" si="55"/>
        <v>204.16666666666666</v>
      </c>
      <c r="BA53" s="208">
        <f t="shared" si="55"/>
        <v>204.16666666666666</v>
      </c>
      <c r="BB53" s="208">
        <f t="shared" si="55"/>
        <v>204.16666666666666</v>
      </c>
      <c r="BC53" s="208">
        <f t="shared" si="55"/>
        <v>204.16666666666666</v>
      </c>
      <c r="BD53" s="208">
        <f t="shared" si="55"/>
        <v>204.16666666666666</v>
      </c>
      <c r="BE53" s="208">
        <f t="shared" si="55"/>
        <v>204.16666666666666</v>
      </c>
      <c r="BF53" s="208">
        <f t="shared" si="55"/>
        <v>204.16666666666666</v>
      </c>
      <c r="BG53" s="208">
        <f t="shared" si="55"/>
        <v>204.16666666666666</v>
      </c>
      <c r="BH53" s="208">
        <f t="shared" si="55"/>
        <v>204.16666666666666</v>
      </c>
      <c r="BI53" s="208">
        <f t="shared" si="55"/>
        <v>204.16666666666666</v>
      </c>
      <c r="BJ53" s="11">
        <f t="shared" si="55"/>
        <v>204.16666666666666</v>
      </c>
      <c r="BK53" s="11">
        <f t="shared" si="55"/>
        <v>204.16666666666666</v>
      </c>
      <c r="BL53" s="11">
        <f t="shared" si="55"/>
        <v>204.16666666666666</v>
      </c>
      <c r="BM53" s="11">
        <f t="shared" si="55"/>
        <v>204.16666666666666</v>
      </c>
      <c r="BN53" s="11">
        <f t="shared" si="55"/>
        <v>204.16666666666666</v>
      </c>
      <c r="BO53" s="11">
        <f t="shared" si="55"/>
        <v>204.16666666666666</v>
      </c>
      <c r="BP53" s="11">
        <f t="shared" si="55"/>
        <v>204.16666666666666</v>
      </c>
      <c r="BQ53" s="11">
        <f t="shared" si="55"/>
        <v>204.16666666666666</v>
      </c>
      <c r="BR53" s="11">
        <f t="shared" si="55"/>
        <v>204.16666666666666</v>
      </c>
      <c r="BS53" s="11">
        <f t="shared" si="55"/>
        <v>204.16666666666666</v>
      </c>
      <c r="BT53" s="11">
        <f t="shared" si="55"/>
        <v>204.16666666666666</v>
      </c>
      <c r="BU53" s="11">
        <f t="shared" si="55"/>
        <v>204.16666666666666</v>
      </c>
      <c r="BV53" s="11">
        <f t="shared" si="55"/>
        <v>204.16666666666666</v>
      </c>
      <c r="BW53" s="11">
        <f t="shared" si="55"/>
        <v>204.16666666666666</v>
      </c>
      <c r="BX53" s="11">
        <f t="shared" si="55"/>
        <v>204.16666666666666</v>
      </c>
      <c r="BY53" s="11">
        <f t="shared" si="55"/>
        <v>204.16666666666666</v>
      </c>
      <c r="BZ53" s="11">
        <f t="shared" si="55"/>
        <v>204.16666666666666</v>
      </c>
      <c r="CA53" s="11">
        <f t="shared" si="55"/>
        <v>204.16666666666666</v>
      </c>
      <c r="CB53" s="11">
        <f t="shared" si="55"/>
        <v>204.16666666666666</v>
      </c>
      <c r="CC53" s="11">
        <f t="shared" si="55"/>
        <v>204.16666666666666</v>
      </c>
      <c r="CD53" s="11">
        <f t="shared" si="55"/>
        <v>204.16666666666666</v>
      </c>
      <c r="CE53" s="11">
        <f t="shared" si="55"/>
        <v>204.16666666666666</v>
      </c>
      <c r="CF53" s="11">
        <f t="shared" si="55"/>
        <v>204.16666666666666</v>
      </c>
      <c r="CG53" s="11">
        <f t="shared" si="55"/>
        <v>204.16666666666666</v>
      </c>
      <c r="CH53" s="11">
        <f t="shared" si="55"/>
        <v>204.16666666666666</v>
      </c>
      <c r="CI53" s="11">
        <f t="shared" si="55"/>
        <v>204.16666666666666</v>
      </c>
      <c r="CJ53" s="11">
        <f t="shared" si="55"/>
        <v>204.16666666666666</v>
      </c>
      <c r="CK53" s="11">
        <f t="shared" si="55"/>
        <v>204.16666666666666</v>
      </c>
      <c r="CL53" s="11">
        <f t="shared" si="55"/>
        <v>204.16666666666666</v>
      </c>
    </row>
    <row r="54" spans="1:96" x14ac:dyDescent="0.3">
      <c r="A54">
        <v>51</v>
      </c>
      <c r="B54" s="14">
        <v>45092</v>
      </c>
      <c r="C54" t="s">
        <v>229</v>
      </c>
      <c r="D54" t="s">
        <v>117</v>
      </c>
      <c r="E54" s="9">
        <v>10500</v>
      </c>
      <c r="F54" s="19">
        <f>E54/60</f>
        <v>175</v>
      </c>
      <c r="G54" s="14">
        <v>46874</v>
      </c>
      <c r="H54" s="11">
        <f t="shared" si="4"/>
        <v>0</v>
      </c>
      <c r="AD54" s="11"/>
      <c r="AE54" s="11">
        <f t="shared" ref="AE54:CL54" si="56">$F$54</f>
        <v>175</v>
      </c>
      <c r="AF54" s="11">
        <f t="shared" si="56"/>
        <v>175</v>
      </c>
      <c r="AG54" s="11">
        <f t="shared" si="56"/>
        <v>175</v>
      </c>
      <c r="AH54" s="11">
        <f t="shared" si="56"/>
        <v>175</v>
      </c>
      <c r="AI54" s="11">
        <f t="shared" si="56"/>
        <v>175</v>
      </c>
      <c r="AJ54" s="11">
        <f t="shared" si="56"/>
        <v>175</v>
      </c>
      <c r="AK54" s="11">
        <f t="shared" si="56"/>
        <v>175</v>
      </c>
      <c r="AL54" s="11">
        <f t="shared" si="56"/>
        <v>175</v>
      </c>
      <c r="AM54" s="11">
        <f t="shared" si="56"/>
        <v>175</v>
      </c>
      <c r="AN54" s="11">
        <f t="shared" si="56"/>
        <v>175</v>
      </c>
      <c r="AO54" s="11">
        <f t="shared" si="56"/>
        <v>175</v>
      </c>
      <c r="AP54" s="11">
        <f t="shared" si="56"/>
        <v>175</v>
      </c>
      <c r="AQ54" s="11">
        <f t="shared" si="56"/>
        <v>175</v>
      </c>
      <c r="AR54" s="11">
        <f t="shared" si="56"/>
        <v>175</v>
      </c>
      <c r="AS54" s="11">
        <f t="shared" si="56"/>
        <v>175</v>
      </c>
      <c r="AT54" s="11">
        <f t="shared" si="56"/>
        <v>175</v>
      </c>
      <c r="AU54" s="11">
        <f t="shared" si="56"/>
        <v>175</v>
      </c>
      <c r="AV54" s="11">
        <f t="shared" si="56"/>
        <v>175</v>
      </c>
      <c r="AW54" s="208">
        <f t="shared" si="56"/>
        <v>175</v>
      </c>
      <c r="AX54" s="208">
        <f t="shared" si="56"/>
        <v>175</v>
      </c>
      <c r="AY54" s="208">
        <f t="shared" si="56"/>
        <v>175</v>
      </c>
      <c r="AZ54" s="208">
        <f t="shared" si="56"/>
        <v>175</v>
      </c>
      <c r="BA54" s="208">
        <f t="shared" si="56"/>
        <v>175</v>
      </c>
      <c r="BB54" s="208">
        <f t="shared" si="56"/>
        <v>175</v>
      </c>
      <c r="BC54" s="208">
        <f t="shared" si="56"/>
        <v>175</v>
      </c>
      <c r="BD54" s="208">
        <f t="shared" si="56"/>
        <v>175</v>
      </c>
      <c r="BE54" s="208">
        <f t="shared" si="56"/>
        <v>175</v>
      </c>
      <c r="BF54" s="208">
        <f t="shared" si="56"/>
        <v>175</v>
      </c>
      <c r="BG54" s="208">
        <f t="shared" si="56"/>
        <v>175</v>
      </c>
      <c r="BH54" s="208">
        <f t="shared" si="56"/>
        <v>175</v>
      </c>
      <c r="BI54" s="208">
        <f t="shared" si="56"/>
        <v>175</v>
      </c>
      <c r="BJ54" s="11">
        <f t="shared" si="56"/>
        <v>175</v>
      </c>
      <c r="BK54" s="11">
        <f t="shared" si="56"/>
        <v>175</v>
      </c>
      <c r="BL54" s="11">
        <f t="shared" si="56"/>
        <v>175</v>
      </c>
      <c r="BM54" s="11">
        <f t="shared" si="56"/>
        <v>175</v>
      </c>
      <c r="BN54" s="11">
        <f t="shared" si="56"/>
        <v>175</v>
      </c>
      <c r="BO54" s="11">
        <f t="shared" si="56"/>
        <v>175</v>
      </c>
      <c r="BP54" s="11">
        <f t="shared" si="56"/>
        <v>175</v>
      </c>
      <c r="BQ54" s="11">
        <f t="shared" si="56"/>
        <v>175</v>
      </c>
      <c r="BR54" s="11">
        <f t="shared" si="56"/>
        <v>175</v>
      </c>
      <c r="BS54" s="11">
        <f t="shared" si="56"/>
        <v>175</v>
      </c>
      <c r="BT54" s="11">
        <f t="shared" si="56"/>
        <v>175</v>
      </c>
      <c r="BU54" s="11">
        <f t="shared" si="56"/>
        <v>175</v>
      </c>
      <c r="BV54" s="11">
        <f t="shared" si="56"/>
        <v>175</v>
      </c>
      <c r="BW54" s="11">
        <f t="shared" si="56"/>
        <v>175</v>
      </c>
      <c r="BX54" s="11">
        <f t="shared" si="56"/>
        <v>175</v>
      </c>
      <c r="BY54" s="11">
        <f t="shared" si="56"/>
        <v>175</v>
      </c>
      <c r="BZ54" s="11">
        <f t="shared" si="56"/>
        <v>175</v>
      </c>
      <c r="CA54" s="11">
        <f t="shared" si="56"/>
        <v>175</v>
      </c>
      <c r="CB54" s="11">
        <f t="shared" si="56"/>
        <v>175</v>
      </c>
      <c r="CC54" s="11">
        <f t="shared" si="56"/>
        <v>175</v>
      </c>
      <c r="CD54" s="11">
        <f t="shared" si="56"/>
        <v>175</v>
      </c>
      <c r="CE54" s="11">
        <f t="shared" si="56"/>
        <v>175</v>
      </c>
      <c r="CF54" s="11">
        <f t="shared" si="56"/>
        <v>175</v>
      </c>
      <c r="CG54" s="11">
        <f t="shared" si="56"/>
        <v>175</v>
      </c>
      <c r="CH54" s="11">
        <f t="shared" si="56"/>
        <v>175</v>
      </c>
      <c r="CI54" s="11">
        <f t="shared" si="56"/>
        <v>175</v>
      </c>
      <c r="CJ54" s="11">
        <f t="shared" si="56"/>
        <v>175</v>
      </c>
      <c r="CK54" s="11">
        <f t="shared" si="56"/>
        <v>175</v>
      </c>
      <c r="CL54" s="11">
        <f t="shared" si="56"/>
        <v>175</v>
      </c>
    </row>
    <row r="55" spans="1:96" x14ac:dyDescent="0.3">
      <c r="A55">
        <v>52</v>
      </c>
      <c r="B55" s="14">
        <v>45106</v>
      </c>
      <c r="C55" t="s">
        <v>230</v>
      </c>
      <c r="D55" t="s">
        <v>117</v>
      </c>
      <c r="E55" s="9">
        <v>22500</v>
      </c>
      <c r="F55" s="19">
        <f>E55/60</f>
        <v>375</v>
      </c>
      <c r="G55" s="14">
        <v>46875</v>
      </c>
      <c r="H55" s="11">
        <f t="shared" si="4"/>
        <v>0</v>
      </c>
      <c r="AD55" s="11"/>
      <c r="AE55" s="11">
        <f t="shared" ref="AE55:CL55" si="57">$F$55</f>
        <v>375</v>
      </c>
      <c r="AF55" s="11">
        <f t="shared" si="57"/>
        <v>375</v>
      </c>
      <c r="AG55" s="11">
        <f t="shared" si="57"/>
        <v>375</v>
      </c>
      <c r="AH55" s="11">
        <f t="shared" si="57"/>
        <v>375</v>
      </c>
      <c r="AI55" s="11">
        <f t="shared" si="57"/>
        <v>375</v>
      </c>
      <c r="AJ55" s="11">
        <f t="shared" si="57"/>
        <v>375</v>
      </c>
      <c r="AK55" s="11">
        <f t="shared" si="57"/>
        <v>375</v>
      </c>
      <c r="AL55" s="11">
        <f t="shared" si="57"/>
        <v>375</v>
      </c>
      <c r="AM55" s="11">
        <f t="shared" si="57"/>
        <v>375</v>
      </c>
      <c r="AN55" s="11">
        <f t="shared" si="57"/>
        <v>375</v>
      </c>
      <c r="AO55" s="11">
        <f t="shared" si="57"/>
        <v>375</v>
      </c>
      <c r="AP55" s="11">
        <f t="shared" si="57"/>
        <v>375</v>
      </c>
      <c r="AQ55" s="11">
        <f t="shared" si="57"/>
        <v>375</v>
      </c>
      <c r="AR55" s="11">
        <f t="shared" si="57"/>
        <v>375</v>
      </c>
      <c r="AS55" s="11">
        <f t="shared" si="57"/>
        <v>375</v>
      </c>
      <c r="AT55" s="11">
        <f t="shared" si="57"/>
        <v>375</v>
      </c>
      <c r="AU55" s="11">
        <f t="shared" si="57"/>
        <v>375</v>
      </c>
      <c r="AV55" s="11">
        <f t="shared" si="57"/>
        <v>375</v>
      </c>
      <c r="AW55" s="208">
        <f t="shared" si="57"/>
        <v>375</v>
      </c>
      <c r="AX55" s="208">
        <f t="shared" si="57"/>
        <v>375</v>
      </c>
      <c r="AY55" s="208">
        <f t="shared" si="57"/>
        <v>375</v>
      </c>
      <c r="AZ55" s="208">
        <f t="shared" si="57"/>
        <v>375</v>
      </c>
      <c r="BA55" s="208">
        <f t="shared" si="57"/>
        <v>375</v>
      </c>
      <c r="BB55" s="208">
        <f t="shared" si="57"/>
        <v>375</v>
      </c>
      <c r="BC55" s="208">
        <f t="shared" si="57"/>
        <v>375</v>
      </c>
      <c r="BD55" s="208">
        <f t="shared" si="57"/>
        <v>375</v>
      </c>
      <c r="BE55" s="208">
        <f t="shared" si="57"/>
        <v>375</v>
      </c>
      <c r="BF55" s="208">
        <f t="shared" si="57"/>
        <v>375</v>
      </c>
      <c r="BG55" s="208">
        <f t="shared" si="57"/>
        <v>375</v>
      </c>
      <c r="BH55" s="208">
        <f t="shared" si="57"/>
        <v>375</v>
      </c>
      <c r="BI55" s="208">
        <f t="shared" si="57"/>
        <v>375</v>
      </c>
      <c r="BJ55" s="11">
        <f t="shared" si="57"/>
        <v>375</v>
      </c>
      <c r="BK55" s="11">
        <f t="shared" si="57"/>
        <v>375</v>
      </c>
      <c r="BL55" s="11">
        <f t="shared" si="57"/>
        <v>375</v>
      </c>
      <c r="BM55" s="11">
        <f t="shared" si="57"/>
        <v>375</v>
      </c>
      <c r="BN55" s="11">
        <f t="shared" si="57"/>
        <v>375</v>
      </c>
      <c r="BO55" s="11">
        <f t="shared" si="57"/>
        <v>375</v>
      </c>
      <c r="BP55" s="11">
        <f t="shared" si="57"/>
        <v>375</v>
      </c>
      <c r="BQ55" s="11">
        <f t="shared" si="57"/>
        <v>375</v>
      </c>
      <c r="BR55" s="11">
        <f t="shared" si="57"/>
        <v>375</v>
      </c>
      <c r="BS55" s="11">
        <f t="shared" si="57"/>
        <v>375</v>
      </c>
      <c r="BT55" s="11">
        <f t="shared" si="57"/>
        <v>375</v>
      </c>
      <c r="BU55" s="11">
        <f t="shared" si="57"/>
        <v>375</v>
      </c>
      <c r="BV55" s="11">
        <f t="shared" si="57"/>
        <v>375</v>
      </c>
      <c r="BW55" s="11">
        <f t="shared" si="57"/>
        <v>375</v>
      </c>
      <c r="BX55" s="11">
        <f t="shared" si="57"/>
        <v>375</v>
      </c>
      <c r="BY55" s="11">
        <f t="shared" si="57"/>
        <v>375</v>
      </c>
      <c r="BZ55" s="11">
        <f t="shared" si="57"/>
        <v>375</v>
      </c>
      <c r="CA55" s="11">
        <f t="shared" si="57"/>
        <v>375</v>
      </c>
      <c r="CB55" s="11">
        <f t="shared" si="57"/>
        <v>375</v>
      </c>
      <c r="CC55" s="11">
        <f t="shared" si="57"/>
        <v>375</v>
      </c>
      <c r="CD55" s="11">
        <f t="shared" si="57"/>
        <v>375</v>
      </c>
      <c r="CE55" s="11">
        <f t="shared" si="57"/>
        <v>375</v>
      </c>
      <c r="CF55" s="11">
        <f t="shared" si="57"/>
        <v>375</v>
      </c>
      <c r="CG55" s="11">
        <f t="shared" si="57"/>
        <v>375</v>
      </c>
      <c r="CH55" s="11">
        <f t="shared" si="57"/>
        <v>375</v>
      </c>
      <c r="CI55" s="11">
        <f t="shared" si="57"/>
        <v>375</v>
      </c>
      <c r="CJ55" s="11">
        <f t="shared" si="57"/>
        <v>375</v>
      </c>
      <c r="CK55" s="11">
        <f t="shared" si="57"/>
        <v>375</v>
      </c>
      <c r="CL55" s="11">
        <f t="shared" si="57"/>
        <v>375</v>
      </c>
    </row>
    <row r="56" spans="1:96" x14ac:dyDescent="0.3">
      <c r="A56">
        <v>53</v>
      </c>
      <c r="B56" s="14">
        <v>45142</v>
      </c>
      <c r="C56" t="s">
        <v>231</v>
      </c>
      <c r="D56" t="s">
        <v>117</v>
      </c>
      <c r="E56" s="9">
        <v>22500</v>
      </c>
      <c r="F56" s="19">
        <f>E56/60</f>
        <v>375</v>
      </c>
      <c r="G56" s="14">
        <v>46964</v>
      </c>
      <c r="H56" s="11">
        <f t="shared" si="4"/>
        <v>0</v>
      </c>
      <c r="AD56" s="11"/>
      <c r="AE56" s="11"/>
      <c r="AF56" s="11"/>
      <c r="AG56" s="11">
        <f t="shared" ref="AG56:CN56" si="58">$F$56</f>
        <v>375</v>
      </c>
      <c r="AH56" s="11">
        <f t="shared" si="58"/>
        <v>375</v>
      </c>
      <c r="AI56" s="11">
        <f t="shared" si="58"/>
        <v>375</v>
      </c>
      <c r="AJ56" s="11">
        <f t="shared" si="58"/>
        <v>375</v>
      </c>
      <c r="AK56" s="11">
        <f t="shared" si="58"/>
        <v>375</v>
      </c>
      <c r="AL56" s="11">
        <f t="shared" si="58"/>
        <v>375</v>
      </c>
      <c r="AM56" s="11">
        <f t="shared" si="58"/>
        <v>375</v>
      </c>
      <c r="AN56" s="11">
        <f t="shared" si="58"/>
        <v>375</v>
      </c>
      <c r="AO56" s="11">
        <f t="shared" si="58"/>
        <v>375</v>
      </c>
      <c r="AP56" s="11">
        <f t="shared" si="58"/>
        <v>375</v>
      </c>
      <c r="AQ56" s="11">
        <f t="shared" si="58"/>
        <v>375</v>
      </c>
      <c r="AR56" s="11">
        <f t="shared" si="58"/>
        <v>375</v>
      </c>
      <c r="AS56" s="11">
        <f t="shared" si="58"/>
        <v>375</v>
      </c>
      <c r="AT56" s="11">
        <f t="shared" si="58"/>
        <v>375</v>
      </c>
      <c r="AU56" s="11">
        <f t="shared" si="58"/>
        <v>375</v>
      </c>
      <c r="AV56" s="11">
        <f t="shared" si="58"/>
        <v>375</v>
      </c>
      <c r="AW56" s="208">
        <f t="shared" si="58"/>
        <v>375</v>
      </c>
      <c r="AX56" s="208">
        <f t="shared" si="58"/>
        <v>375</v>
      </c>
      <c r="AY56" s="208">
        <f t="shared" si="58"/>
        <v>375</v>
      </c>
      <c r="AZ56" s="208">
        <f t="shared" si="58"/>
        <v>375</v>
      </c>
      <c r="BA56" s="208">
        <f t="shared" si="58"/>
        <v>375</v>
      </c>
      <c r="BB56" s="208">
        <f t="shared" si="58"/>
        <v>375</v>
      </c>
      <c r="BC56" s="208">
        <f t="shared" si="58"/>
        <v>375</v>
      </c>
      <c r="BD56" s="208">
        <f t="shared" si="58"/>
        <v>375</v>
      </c>
      <c r="BE56" s="208">
        <f t="shared" si="58"/>
        <v>375</v>
      </c>
      <c r="BF56" s="208">
        <f t="shared" si="58"/>
        <v>375</v>
      </c>
      <c r="BG56" s="208">
        <f t="shared" si="58"/>
        <v>375</v>
      </c>
      <c r="BH56" s="208">
        <f t="shared" si="58"/>
        <v>375</v>
      </c>
      <c r="BI56" s="208">
        <f t="shared" si="58"/>
        <v>375</v>
      </c>
      <c r="BJ56" s="11">
        <f t="shared" si="58"/>
        <v>375</v>
      </c>
      <c r="BK56" s="11">
        <f t="shared" si="58"/>
        <v>375</v>
      </c>
      <c r="BL56" s="11">
        <f t="shared" si="58"/>
        <v>375</v>
      </c>
      <c r="BM56" s="11">
        <f t="shared" si="58"/>
        <v>375</v>
      </c>
      <c r="BN56" s="11">
        <f t="shared" si="58"/>
        <v>375</v>
      </c>
      <c r="BO56" s="11">
        <f t="shared" si="58"/>
        <v>375</v>
      </c>
      <c r="BP56" s="11">
        <f t="shared" si="58"/>
        <v>375</v>
      </c>
      <c r="BQ56" s="11">
        <f t="shared" si="58"/>
        <v>375</v>
      </c>
      <c r="BR56" s="11">
        <f t="shared" si="58"/>
        <v>375</v>
      </c>
      <c r="BS56" s="11">
        <f t="shared" si="58"/>
        <v>375</v>
      </c>
      <c r="BT56" s="11">
        <f t="shared" si="58"/>
        <v>375</v>
      </c>
      <c r="BU56" s="11">
        <f t="shared" si="58"/>
        <v>375</v>
      </c>
      <c r="BV56" s="11">
        <f t="shared" si="58"/>
        <v>375</v>
      </c>
      <c r="BW56" s="11">
        <f t="shared" si="58"/>
        <v>375</v>
      </c>
      <c r="BX56" s="11">
        <f t="shared" si="58"/>
        <v>375</v>
      </c>
      <c r="BY56" s="11">
        <f t="shared" si="58"/>
        <v>375</v>
      </c>
      <c r="BZ56" s="11">
        <f t="shared" si="58"/>
        <v>375</v>
      </c>
      <c r="CA56" s="11">
        <f t="shared" si="58"/>
        <v>375</v>
      </c>
      <c r="CB56" s="11">
        <f t="shared" si="58"/>
        <v>375</v>
      </c>
      <c r="CC56" s="11">
        <f t="shared" si="58"/>
        <v>375</v>
      </c>
      <c r="CD56" s="11">
        <f t="shared" si="58"/>
        <v>375</v>
      </c>
      <c r="CE56" s="11">
        <f t="shared" si="58"/>
        <v>375</v>
      </c>
      <c r="CF56" s="11">
        <f t="shared" si="58"/>
        <v>375</v>
      </c>
      <c r="CG56" s="11">
        <f t="shared" si="58"/>
        <v>375</v>
      </c>
      <c r="CH56" s="11">
        <f t="shared" si="58"/>
        <v>375</v>
      </c>
      <c r="CI56" s="11">
        <f t="shared" si="58"/>
        <v>375</v>
      </c>
      <c r="CJ56" s="11">
        <f t="shared" si="58"/>
        <v>375</v>
      </c>
      <c r="CK56" s="11">
        <f t="shared" si="58"/>
        <v>375</v>
      </c>
      <c r="CL56" s="11">
        <f t="shared" si="58"/>
        <v>375</v>
      </c>
      <c r="CM56" s="11">
        <f t="shared" si="58"/>
        <v>375</v>
      </c>
      <c r="CN56" s="11">
        <f t="shared" si="58"/>
        <v>375</v>
      </c>
    </row>
    <row r="57" spans="1:96" x14ac:dyDescent="0.3">
      <c r="A57">
        <v>54</v>
      </c>
      <c r="B57" s="14">
        <v>45155</v>
      </c>
      <c r="C57" t="s">
        <v>232</v>
      </c>
      <c r="D57" t="s">
        <v>117</v>
      </c>
      <c r="E57" s="9">
        <f>22500/2</f>
        <v>11250</v>
      </c>
      <c r="F57" s="19">
        <f>E57/30</f>
        <v>375</v>
      </c>
      <c r="G57" s="14">
        <v>46964</v>
      </c>
      <c r="H57" s="11">
        <f t="shared" si="4"/>
        <v>0</v>
      </c>
      <c r="AD57" s="11"/>
      <c r="AE57" s="11"/>
      <c r="AF57" s="11"/>
      <c r="AG57" s="11">
        <f t="shared" ref="AG57:BJ57" si="59">$F$57</f>
        <v>375</v>
      </c>
      <c r="AH57" s="11">
        <f t="shared" si="59"/>
        <v>375</v>
      </c>
      <c r="AI57" s="11">
        <f t="shared" si="59"/>
        <v>375</v>
      </c>
      <c r="AJ57" s="11">
        <f t="shared" si="59"/>
        <v>375</v>
      </c>
      <c r="AK57" s="11">
        <f t="shared" si="59"/>
        <v>375</v>
      </c>
      <c r="AL57" s="11">
        <f t="shared" si="59"/>
        <v>375</v>
      </c>
      <c r="AM57" s="11">
        <f t="shared" si="59"/>
        <v>375</v>
      </c>
      <c r="AN57" s="11">
        <f t="shared" si="59"/>
        <v>375</v>
      </c>
      <c r="AO57" s="11">
        <f t="shared" si="59"/>
        <v>375</v>
      </c>
      <c r="AP57" s="11">
        <f t="shared" si="59"/>
        <v>375</v>
      </c>
      <c r="AQ57" s="11">
        <f t="shared" si="59"/>
        <v>375</v>
      </c>
      <c r="AR57" s="11">
        <f t="shared" si="59"/>
        <v>375</v>
      </c>
      <c r="AS57" s="11">
        <f t="shared" si="59"/>
        <v>375</v>
      </c>
      <c r="AT57" s="11">
        <f t="shared" si="59"/>
        <v>375</v>
      </c>
      <c r="AU57" s="11">
        <f t="shared" si="59"/>
        <v>375</v>
      </c>
      <c r="AV57" s="11">
        <f t="shared" si="59"/>
        <v>375</v>
      </c>
      <c r="AW57" s="208">
        <f t="shared" si="59"/>
        <v>375</v>
      </c>
      <c r="AX57" s="208">
        <f t="shared" si="59"/>
        <v>375</v>
      </c>
      <c r="AY57" s="208">
        <f t="shared" si="59"/>
        <v>375</v>
      </c>
      <c r="AZ57" s="208">
        <f t="shared" si="59"/>
        <v>375</v>
      </c>
      <c r="BA57" s="208">
        <f t="shared" si="59"/>
        <v>375</v>
      </c>
      <c r="BB57" s="208">
        <f t="shared" si="59"/>
        <v>375</v>
      </c>
      <c r="BC57" s="208">
        <f t="shared" si="59"/>
        <v>375</v>
      </c>
      <c r="BD57" s="208">
        <f t="shared" si="59"/>
        <v>375</v>
      </c>
      <c r="BE57" s="208">
        <f t="shared" si="59"/>
        <v>375</v>
      </c>
      <c r="BF57" s="208">
        <f t="shared" si="59"/>
        <v>375</v>
      </c>
      <c r="BG57" s="208">
        <f t="shared" si="59"/>
        <v>375</v>
      </c>
      <c r="BH57" s="208">
        <f t="shared" si="59"/>
        <v>375</v>
      </c>
      <c r="BI57" s="208">
        <f t="shared" si="59"/>
        <v>375</v>
      </c>
      <c r="BJ57" s="11">
        <f t="shared" si="59"/>
        <v>375</v>
      </c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</row>
    <row r="58" spans="1:96" x14ac:dyDescent="0.3">
      <c r="A58">
        <v>55</v>
      </c>
      <c r="B58" s="14">
        <v>45155</v>
      </c>
      <c r="C58" t="s">
        <v>232</v>
      </c>
      <c r="D58" t="s">
        <v>197</v>
      </c>
      <c r="E58" s="9">
        <v>16500</v>
      </c>
      <c r="F58" s="19">
        <f>E58/12</f>
        <v>1375</v>
      </c>
      <c r="G58" s="14">
        <v>45503</v>
      </c>
      <c r="H58" s="11">
        <f t="shared" si="4"/>
        <v>0</v>
      </c>
      <c r="AD58" s="11"/>
      <c r="AE58" s="11"/>
      <c r="AF58" s="11"/>
      <c r="AG58" s="11">
        <f t="shared" ref="AG58:AR58" si="60">$F$58</f>
        <v>1375</v>
      </c>
      <c r="AH58" s="11">
        <f t="shared" si="60"/>
        <v>1375</v>
      </c>
      <c r="AI58" s="11">
        <f t="shared" si="60"/>
        <v>1375</v>
      </c>
      <c r="AJ58" s="11">
        <f t="shared" si="60"/>
        <v>1375</v>
      </c>
      <c r="AK58" s="11">
        <f t="shared" si="60"/>
        <v>1375</v>
      </c>
      <c r="AL58" s="11">
        <f t="shared" si="60"/>
        <v>1375</v>
      </c>
      <c r="AM58" s="11">
        <f t="shared" si="60"/>
        <v>1375</v>
      </c>
      <c r="AN58" s="11">
        <f t="shared" si="60"/>
        <v>1375</v>
      </c>
      <c r="AO58" s="11">
        <f t="shared" si="60"/>
        <v>1375</v>
      </c>
      <c r="AP58" s="11">
        <f t="shared" si="60"/>
        <v>1375</v>
      </c>
      <c r="AQ58" s="11">
        <f t="shared" si="60"/>
        <v>1375</v>
      </c>
      <c r="AR58" s="11">
        <f t="shared" si="60"/>
        <v>1375</v>
      </c>
      <c r="AS58" s="11"/>
      <c r="AT58" s="11"/>
      <c r="AU58" s="11"/>
      <c r="AV58" s="11"/>
      <c r="AW58" s="208"/>
      <c r="AX58" s="208"/>
      <c r="AY58" s="208"/>
      <c r="AZ58" s="208"/>
      <c r="BA58" s="208"/>
      <c r="BB58" s="208"/>
      <c r="BC58" s="208"/>
      <c r="BD58" s="208"/>
      <c r="BE58" s="208"/>
      <c r="BF58" s="208"/>
      <c r="BG58" s="208"/>
      <c r="BH58" s="208"/>
      <c r="BI58" s="208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</row>
    <row r="59" spans="1:96" x14ac:dyDescent="0.3">
      <c r="A59">
        <v>56</v>
      </c>
      <c r="B59" s="14">
        <v>45170</v>
      </c>
      <c r="C59" t="s">
        <v>233</v>
      </c>
      <c r="D59" t="s">
        <v>117</v>
      </c>
      <c r="E59" s="9">
        <v>12250</v>
      </c>
      <c r="F59" s="19">
        <f>E59/60</f>
        <v>204.16666666666666</v>
      </c>
      <c r="G59" s="14">
        <v>46996</v>
      </c>
      <c r="H59" s="11">
        <f t="shared" si="4"/>
        <v>0</v>
      </c>
      <c r="AD59" s="11"/>
      <c r="AE59" s="11"/>
      <c r="AF59" s="11"/>
      <c r="AG59" s="11"/>
      <c r="AH59" s="11">
        <f t="shared" ref="AH59:CO59" si="61">$F$59</f>
        <v>204.16666666666666</v>
      </c>
      <c r="AI59" s="11">
        <f t="shared" si="61"/>
        <v>204.16666666666666</v>
      </c>
      <c r="AJ59" s="11">
        <f t="shared" si="61"/>
        <v>204.16666666666666</v>
      </c>
      <c r="AK59" s="11">
        <f t="shared" si="61"/>
        <v>204.16666666666666</v>
      </c>
      <c r="AL59" s="11">
        <f t="shared" si="61"/>
        <v>204.16666666666666</v>
      </c>
      <c r="AM59" s="11">
        <f t="shared" si="61"/>
        <v>204.16666666666666</v>
      </c>
      <c r="AN59" s="11">
        <f t="shared" si="61"/>
        <v>204.16666666666666</v>
      </c>
      <c r="AO59" s="11">
        <f t="shared" si="61"/>
        <v>204.16666666666666</v>
      </c>
      <c r="AP59" s="11">
        <f t="shared" si="61"/>
        <v>204.16666666666666</v>
      </c>
      <c r="AQ59" s="11">
        <f t="shared" si="61"/>
        <v>204.16666666666666</v>
      </c>
      <c r="AR59" s="11">
        <f t="shared" si="61"/>
        <v>204.16666666666666</v>
      </c>
      <c r="AS59" s="11">
        <f t="shared" si="61"/>
        <v>204.16666666666666</v>
      </c>
      <c r="AT59" s="11">
        <f t="shared" si="61"/>
        <v>204.16666666666666</v>
      </c>
      <c r="AU59" s="11">
        <f t="shared" si="61"/>
        <v>204.16666666666666</v>
      </c>
      <c r="AV59" s="11">
        <f t="shared" si="61"/>
        <v>204.16666666666666</v>
      </c>
      <c r="AW59" s="208">
        <f t="shared" si="61"/>
        <v>204.16666666666666</v>
      </c>
      <c r="AX59" s="208">
        <f t="shared" si="61"/>
        <v>204.16666666666666</v>
      </c>
      <c r="AY59" s="208">
        <f t="shared" si="61"/>
        <v>204.16666666666666</v>
      </c>
      <c r="AZ59" s="208">
        <f t="shared" si="61"/>
        <v>204.16666666666666</v>
      </c>
      <c r="BA59" s="208">
        <f t="shared" si="61"/>
        <v>204.16666666666666</v>
      </c>
      <c r="BB59" s="208">
        <f t="shared" si="61"/>
        <v>204.16666666666666</v>
      </c>
      <c r="BC59" s="208">
        <f t="shared" si="61"/>
        <v>204.16666666666666</v>
      </c>
      <c r="BD59" s="208">
        <f t="shared" si="61"/>
        <v>204.16666666666666</v>
      </c>
      <c r="BE59" s="208">
        <f t="shared" si="61"/>
        <v>204.16666666666666</v>
      </c>
      <c r="BF59" s="208">
        <f t="shared" si="61"/>
        <v>204.16666666666666</v>
      </c>
      <c r="BG59" s="208">
        <f t="shared" si="61"/>
        <v>204.16666666666666</v>
      </c>
      <c r="BH59" s="208">
        <f t="shared" si="61"/>
        <v>204.16666666666666</v>
      </c>
      <c r="BI59" s="208">
        <f t="shared" si="61"/>
        <v>204.16666666666666</v>
      </c>
      <c r="BJ59" s="11">
        <f t="shared" si="61"/>
        <v>204.16666666666666</v>
      </c>
      <c r="BK59" s="11">
        <f t="shared" si="61"/>
        <v>204.16666666666666</v>
      </c>
      <c r="BL59" s="11">
        <f t="shared" si="61"/>
        <v>204.16666666666666</v>
      </c>
      <c r="BM59" s="11">
        <f t="shared" si="61"/>
        <v>204.16666666666666</v>
      </c>
      <c r="BN59" s="11">
        <f t="shared" si="61"/>
        <v>204.16666666666666</v>
      </c>
      <c r="BO59" s="11">
        <f t="shared" si="61"/>
        <v>204.16666666666666</v>
      </c>
      <c r="BP59" s="11">
        <f t="shared" si="61"/>
        <v>204.16666666666666</v>
      </c>
      <c r="BQ59" s="11">
        <f t="shared" si="61"/>
        <v>204.16666666666666</v>
      </c>
      <c r="BR59" s="11">
        <f t="shared" si="61"/>
        <v>204.16666666666666</v>
      </c>
      <c r="BS59" s="11">
        <f t="shared" si="61"/>
        <v>204.16666666666666</v>
      </c>
      <c r="BT59" s="11">
        <f t="shared" si="61"/>
        <v>204.16666666666666</v>
      </c>
      <c r="BU59" s="11">
        <f t="shared" si="61"/>
        <v>204.16666666666666</v>
      </c>
      <c r="BV59" s="11">
        <f t="shared" si="61"/>
        <v>204.16666666666666</v>
      </c>
      <c r="BW59" s="11">
        <f t="shared" si="61"/>
        <v>204.16666666666666</v>
      </c>
      <c r="BX59" s="11">
        <f t="shared" si="61"/>
        <v>204.16666666666666</v>
      </c>
      <c r="BY59" s="11">
        <f t="shared" si="61"/>
        <v>204.16666666666666</v>
      </c>
      <c r="BZ59" s="11">
        <f t="shared" si="61"/>
        <v>204.16666666666666</v>
      </c>
      <c r="CA59" s="11">
        <f t="shared" si="61"/>
        <v>204.16666666666666</v>
      </c>
      <c r="CB59" s="11">
        <f t="shared" si="61"/>
        <v>204.16666666666666</v>
      </c>
      <c r="CC59" s="11">
        <f t="shared" si="61"/>
        <v>204.16666666666666</v>
      </c>
      <c r="CD59" s="11">
        <f t="shared" si="61"/>
        <v>204.16666666666666</v>
      </c>
      <c r="CE59" s="11">
        <f t="shared" si="61"/>
        <v>204.16666666666666</v>
      </c>
      <c r="CF59" s="11">
        <f t="shared" si="61"/>
        <v>204.16666666666666</v>
      </c>
      <c r="CG59" s="11">
        <f t="shared" si="61"/>
        <v>204.16666666666666</v>
      </c>
      <c r="CH59" s="11">
        <f t="shared" si="61"/>
        <v>204.16666666666666</v>
      </c>
      <c r="CI59" s="11">
        <f t="shared" si="61"/>
        <v>204.16666666666666</v>
      </c>
      <c r="CJ59" s="11">
        <f t="shared" si="61"/>
        <v>204.16666666666666</v>
      </c>
      <c r="CK59" s="11">
        <f t="shared" si="61"/>
        <v>204.16666666666666</v>
      </c>
      <c r="CL59" s="11">
        <f t="shared" si="61"/>
        <v>204.16666666666666</v>
      </c>
      <c r="CM59" s="11">
        <f t="shared" si="61"/>
        <v>204.16666666666666</v>
      </c>
      <c r="CN59" s="11">
        <f t="shared" si="61"/>
        <v>204.16666666666666</v>
      </c>
      <c r="CO59" s="11">
        <f t="shared" si="61"/>
        <v>204.16666666666666</v>
      </c>
    </row>
    <row r="60" spans="1:96" x14ac:dyDescent="0.3">
      <c r="A60">
        <v>57</v>
      </c>
      <c r="B60" s="14">
        <v>45200</v>
      </c>
      <c r="C60" t="s">
        <v>234</v>
      </c>
      <c r="D60" t="s">
        <v>117</v>
      </c>
      <c r="E60" s="9">
        <v>12000</v>
      </c>
      <c r="F60" s="19">
        <f>E60/60</f>
        <v>200</v>
      </c>
      <c r="G60" s="14">
        <v>46997</v>
      </c>
      <c r="H60" s="11">
        <f t="shared" si="4"/>
        <v>0</v>
      </c>
      <c r="AD60" s="11"/>
      <c r="AE60" s="11"/>
      <c r="AF60" s="11"/>
      <c r="AG60" s="11"/>
      <c r="AH60" s="11"/>
      <c r="AI60" s="11">
        <f t="shared" ref="AI60:CP60" si="62">$F$60</f>
        <v>200</v>
      </c>
      <c r="AJ60" s="11">
        <f t="shared" si="62"/>
        <v>200</v>
      </c>
      <c r="AK60" s="11">
        <f t="shared" si="62"/>
        <v>200</v>
      </c>
      <c r="AL60" s="11">
        <f t="shared" si="62"/>
        <v>200</v>
      </c>
      <c r="AM60" s="11">
        <f t="shared" si="62"/>
        <v>200</v>
      </c>
      <c r="AN60" s="11">
        <f t="shared" si="62"/>
        <v>200</v>
      </c>
      <c r="AO60" s="11">
        <f t="shared" si="62"/>
        <v>200</v>
      </c>
      <c r="AP60" s="11">
        <f t="shared" si="62"/>
        <v>200</v>
      </c>
      <c r="AQ60" s="11">
        <f t="shared" si="62"/>
        <v>200</v>
      </c>
      <c r="AR60" s="11">
        <f t="shared" si="62"/>
        <v>200</v>
      </c>
      <c r="AS60" s="11">
        <f t="shared" si="62"/>
        <v>200</v>
      </c>
      <c r="AT60" s="11">
        <f t="shared" si="62"/>
        <v>200</v>
      </c>
      <c r="AU60" s="11">
        <f t="shared" si="62"/>
        <v>200</v>
      </c>
      <c r="AV60" s="11">
        <f t="shared" si="62"/>
        <v>200</v>
      </c>
      <c r="AW60" s="208">
        <f t="shared" si="62"/>
        <v>200</v>
      </c>
      <c r="AX60" s="208">
        <f t="shared" si="62"/>
        <v>200</v>
      </c>
      <c r="AY60" s="208">
        <f t="shared" si="62"/>
        <v>200</v>
      </c>
      <c r="AZ60" s="208">
        <f t="shared" si="62"/>
        <v>200</v>
      </c>
      <c r="BA60" s="208">
        <f t="shared" si="62"/>
        <v>200</v>
      </c>
      <c r="BB60" s="208">
        <f t="shared" si="62"/>
        <v>200</v>
      </c>
      <c r="BC60" s="208">
        <f t="shared" si="62"/>
        <v>200</v>
      </c>
      <c r="BD60" s="208">
        <f t="shared" si="62"/>
        <v>200</v>
      </c>
      <c r="BE60" s="208">
        <f t="shared" si="62"/>
        <v>200</v>
      </c>
      <c r="BF60" s="208">
        <f t="shared" si="62"/>
        <v>200</v>
      </c>
      <c r="BG60" s="208">
        <f t="shared" si="62"/>
        <v>200</v>
      </c>
      <c r="BH60" s="208">
        <f t="shared" si="62"/>
        <v>200</v>
      </c>
      <c r="BI60" s="208">
        <f t="shared" si="62"/>
        <v>200</v>
      </c>
      <c r="BJ60" s="11">
        <f t="shared" si="62"/>
        <v>200</v>
      </c>
      <c r="BK60" s="11">
        <f t="shared" si="62"/>
        <v>200</v>
      </c>
      <c r="BL60" s="11">
        <f t="shared" si="62"/>
        <v>200</v>
      </c>
      <c r="BM60" s="11">
        <f t="shared" si="62"/>
        <v>200</v>
      </c>
      <c r="BN60" s="11">
        <f t="shared" si="62"/>
        <v>200</v>
      </c>
      <c r="BO60" s="11">
        <f t="shared" si="62"/>
        <v>200</v>
      </c>
      <c r="BP60" s="11">
        <f t="shared" si="62"/>
        <v>200</v>
      </c>
      <c r="BQ60" s="11">
        <f t="shared" si="62"/>
        <v>200</v>
      </c>
      <c r="BR60" s="11">
        <f t="shared" si="62"/>
        <v>200</v>
      </c>
      <c r="BS60" s="11">
        <f t="shared" si="62"/>
        <v>200</v>
      </c>
      <c r="BT60" s="11">
        <f t="shared" si="62"/>
        <v>200</v>
      </c>
      <c r="BU60" s="11">
        <f t="shared" si="62"/>
        <v>200</v>
      </c>
      <c r="BV60" s="11">
        <f t="shared" si="62"/>
        <v>200</v>
      </c>
      <c r="BW60" s="11">
        <f t="shared" si="62"/>
        <v>200</v>
      </c>
      <c r="BX60" s="11">
        <f t="shared" si="62"/>
        <v>200</v>
      </c>
      <c r="BY60" s="11">
        <f t="shared" si="62"/>
        <v>200</v>
      </c>
      <c r="BZ60" s="11">
        <f t="shared" si="62"/>
        <v>200</v>
      </c>
      <c r="CA60" s="11">
        <f t="shared" si="62"/>
        <v>200</v>
      </c>
      <c r="CB60" s="11">
        <f t="shared" si="62"/>
        <v>200</v>
      </c>
      <c r="CC60" s="11">
        <f t="shared" si="62"/>
        <v>200</v>
      </c>
      <c r="CD60" s="11">
        <f t="shared" si="62"/>
        <v>200</v>
      </c>
      <c r="CE60" s="11">
        <f t="shared" si="62"/>
        <v>200</v>
      </c>
      <c r="CF60" s="11">
        <f t="shared" si="62"/>
        <v>200</v>
      </c>
      <c r="CG60" s="11">
        <f t="shared" si="62"/>
        <v>200</v>
      </c>
      <c r="CH60" s="11">
        <f t="shared" si="62"/>
        <v>200</v>
      </c>
      <c r="CI60" s="11">
        <f t="shared" si="62"/>
        <v>200</v>
      </c>
      <c r="CJ60" s="11">
        <f t="shared" si="62"/>
        <v>200</v>
      </c>
      <c r="CK60" s="11">
        <f t="shared" si="62"/>
        <v>200</v>
      </c>
      <c r="CL60" s="11">
        <f t="shared" si="62"/>
        <v>200</v>
      </c>
      <c r="CM60" s="11">
        <f t="shared" si="62"/>
        <v>200</v>
      </c>
      <c r="CN60" s="11">
        <f t="shared" si="62"/>
        <v>200</v>
      </c>
      <c r="CO60" s="11">
        <f t="shared" si="62"/>
        <v>200</v>
      </c>
      <c r="CP60" s="11">
        <f t="shared" si="62"/>
        <v>200</v>
      </c>
    </row>
    <row r="61" spans="1:96" x14ac:dyDescent="0.3">
      <c r="A61">
        <v>58</v>
      </c>
      <c r="B61" s="14">
        <v>45200</v>
      </c>
      <c r="C61" t="s">
        <v>234</v>
      </c>
      <c r="D61" t="s">
        <v>197</v>
      </c>
      <c r="E61" s="9">
        <v>9515</v>
      </c>
      <c r="F61" s="19">
        <f>E61/12</f>
        <v>792.91666666666663</v>
      </c>
      <c r="G61" s="14">
        <v>45536</v>
      </c>
      <c r="H61" s="11">
        <f t="shared" si="4"/>
        <v>0</v>
      </c>
      <c r="AD61" s="11"/>
      <c r="AE61" s="11"/>
      <c r="AF61" s="11"/>
      <c r="AG61" s="11"/>
      <c r="AH61" s="11"/>
      <c r="AI61" s="11">
        <f t="shared" ref="AI61:AT61" si="63">$F$61</f>
        <v>792.91666666666663</v>
      </c>
      <c r="AJ61" s="11">
        <f t="shared" si="63"/>
        <v>792.91666666666663</v>
      </c>
      <c r="AK61" s="11">
        <f t="shared" si="63"/>
        <v>792.91666666666663</v>
      </c>
      <c r="AL61" s="11">
        <f t="shared" si="63"/>
        <v>792.91666666666663</v>
      </c>
      <c r="AM61" s="11">
        <f t="shared" si="63"/>
        <v>792.91666666666663</v>
      </c>
      <c r="AN61" s="11">
        <f t="shared" si="63"/>
        <v>792.91666666666663</v>
      </c>
      <c r="AO61" s="11">
        <f t="shared" si="63"/>
        <v>792.91666666666663</v>
      </c>
      <c r="AP61" s="11">
        <f t="shared" si="63"/>
        <v>792.91666666666663</v>
      </c>
      <c r="AQ61" s="11">
        <f t="shared" si="63"/>
        <v>792.91666666666663</v>
      </c>
      <c r="AR61" s="11">
        <f t="shared" si="63"/>
        <v>792.91666666666663</v>
      </c>
      <c r="AS61" s="11">
        <f t="shared" si="63"/>
        <v>792.91666666666663</v>
      </c>
      <c r="AT61" s="11">
        <f t="shared" si="63"/>
        <v>792.91666666666663</v>
      </c>
      <c r="AU61" s="11"/>
      <c r="AV61" s="11"/>
      <c r="AW61" s="208"/>
      <c r="AX61" s="208"/>
      <c r="AY61" s="208"/>
      <c r="AZ61" s="208"/>
      <c r="BA61" s="208"/>
      <c r="BB61" s="208"/>
      <c r="BC61" s="208"/>
      <c r="BD61" s="208"/>
      <c r="BE61" s="208"/>
      <c r="BF61" s="208"/>
      <c r="BG61" s="208"/>
      <c r="BH61" s="208"/>
      <c r="BI61" s="208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</row>
    <row r="62" spans="1:96" x14ac:dyDescent="0.3">
      <c r="A62">
        <v>59</v>
      </c>
      <c r="B62" s="14">
        <v>45231</v>
      </c>
      <c r="C62" t="s">
        <v>235</v>
      </c>
      <c r="D62" t="s">
        <v>117</v>
      </c>
      <c r="E62" s="9">
        <v>14500</v>
      </c>
      <c r="F62" s="19">
        <f>E62/60</f>
        <v>241.66666666666666</v>
      </c>
      <c r="G62" s="14">
        <v>47057</v>
      </c>
      <c r="H62" s="11">
        <f t="shared" si="4"/>
        <v>0</v>
      </c>
      <c r="AD62" s="11"/>
      <c r="AE62" s="11"/>
      <c r="AF62" s="11"/>
      <c r="AG62" s="11"/>
      <c r="AH62" s="11"/>
      <c r="AI62" s="11"/>
      <c r="AJ62" s="11">
        <f t="shared" ref="AJ62:CQ62" si="64">$F$62</f>
        <v>241.66666666666666</v>
      </c>
      <c r="AK62" s="11">
        <f t="shared" si="64"/>
        <v>241.66666666666666</v>
      </c>
      <c r="AL62" s="11">
        <f t="shared" si="64"/>
        <v>241.66666666666666</v>
      </c>
      <c r="AM62" s="11">
        <f t="shared" si="64"/>
        <v>241.66666666666666</v>
      </c>
      <c r="AN62" s="11">
        <f t="shared" si="64"/>
        <v>241.66666666666666</v>
      </c>
      <c r="AO62" s="11">
        <f t="shared" si="64"/>
        <v>241.66666666666666</v>
      </c>
      <c r="AP62" s="11">
        <f t="shared" si="64"/>
        <v>241.66666666666666</v>
      </c>
      <c r="AQ62" s="11">
        <f t="shared" si="64"/>
        <v>241.66666666666666</v>
      </c>
      <c r="AR62" s="11">
        <f t="shared" si="64"/>
        <v>241.66666666666666</v>
      </c>
      <c r="AS62" s="11">
        <f t="shared" si="64"/>
        <v>241.66666666666666</v>
      </c>
      <c r="AT62" s="11">
        <f t="shared" si="64"/>
        <v>241.66666666666666</v>
      </c>
      <c r="AU62" s="11">
        <f t="shared" si="64"/>
        <v>241.66666666666666</v>
      </c>
      <c r="AV62" s="11">
        <f t="shared" si="64"/>
        <v>241.66666666666666</v>
      </c>
      <c r="AW62" s="208">
        <f t="shared" si="64"/>
        <v>241.66666666666666</v>
      </c>
      <c r="AX62" s="208">
        <f t="shared" si="64"/>
        <v>241.66666666666666</v>
      </c>
      <c r="AY62" s="208">
        <f t="shared" si="64"/>
        <v>241.66666666666666</v>
      </c>
      <c r="AZ62" s="208">
        <f t="shared" si="64"/>
        <v>241.66666666666666</v>
      </c>
      <c r="BA62" s="208">
        <f t="shared" si="64"/>
        <v>241.66666666666666</v>
      </c>
      <c r="BB62" s="208">
        <f t="shared" si="64"/>
        <v>241.66666666666666</v>
      </c>
      <c r="BC62" s="208">
        <f t="shared" si="64"/>
        <v>241.66666666666666</v>
      </c>
      <c r="BD62" s="208">
        <f t="shared" si="64"/>
        <v>241.66666666666666</v>
      </c>
      <c r="BE62" s="208">
        <f t="shared" si="64"/>
        <v>241.66666666666666</v>
      </c>
      <c r="BF62" s="208">
        <f t="shared" si="64"/>
        <v>241.66666666666666</v>
      </c>
      <c r="BG62" s="208">
        <f t="shared" si="64"/>
        <v>241.66666666666666</v>
      </c>
      <c r="BH62" s="208">
        <f t="shared" si="64"/>
        <v>241.66666666666666</v>
      </c>
      <c r="BI62" s="208">
        <f t="shared" si="64"/>
        <v>241.66666666666666</v>
      </c>
      <c r="BJ62" s="11">
        <f t="shared" si="64"/>
        <v>241.66666666666666</v>
      </c>
      <c r="BK62" s="11">
        <f t="shared" si="64"/>
        <v>241.66666666666666</v>
      </c>
      <c r="BL62" s="11">
        <f t="shared" si="64"/>
        <v>241.66666666666666</v>
      </c>
      <c r="BM62" s="11">
        <f t="shared" si="64"/>
        <v>241.66666666666666</v>
      </c>
      <c r="BN62" s="11">
        <f t="shared" si="64"/>
        <v>241.66666666666666</v>
      </c>
      <c r="BO62" s="11">
        <f t="shared" si="64"/>
        <v>241.66666666666666</v>
      </c>
      <c r="BP62" s="11">
        <f t="shared" si="64"/>
        <v>241.66666666666666</v>
      </c>
      <c r="BQ62" s="11">
        <f t="shared" si="64"/>
        <v>241.66666666666666</v>
      </c>
      <c r="BR62" s="11">
        <f t="shared" si="64"/>
        <v>241.66666666666666</v>
      </c>
      <c r="BS62" s="11">
        <f t="shared" si="64"/>
        <v>241.66666666666666</v>
      </c>
      <c r="BT62" s="11">
        <f t="shared" si="64"/>
        <v>241.66666666666666</v>
      </c>
      <c r="BU62" s="11">
        <f t="shared" si="64"/>
        <v>241.66666666666666</v>
      </c>
      <c r="BV62" s="11">
        <f t="shared" si="64"/>
        <v>241.66666666666666</v>
      </c>
      <c r="BW62" s="11">
        <f t="shared" si="64"/>
        <v>241.66666666666666</v>
      </c>
      <c r="BX62" s="11">
        <f t="shared" si="64"/>
        <v>241.66666666666666</v>
      </c>
      <c r="BY62" s="11">
        <f t="shared" si="64"/>
        <v>241.66666666666666</v>
      </c>
      <c r="BZ62" s="11">
        <f t="shared" si="64"/>
        <v>241.66666666666666</v>
      </c>
      <c r="CA62" s="11">
        <f t="shared" si="64"/>
        <v>241.66666666666666</v>
      </c>
      <c r="CB62" s="11">
        <f t="shared" si="64"/>
        <v>241.66666666666666</v>
      </c>
      <c r="CC62" s="11">
        <f t="shared" si="64"/>
        <v>241.66666666666666</v>
      </c>
      <c r="CD62" s="11">
        <f t="shared" si="64"/>
        <v>241.66666666666666</v>
      </c>
      <c r="CE62" s="11">
        <f t="shared" si="64"/>
        <v>241.66666666666666</v>
      </c>
      <c r="CF62" s="11">
        <f t="shared" si="64"/>
        <v>241.66666666666666</v>
      </c>
      <c r="CG62" s="11">
        <f t="shared" si="64"/>
        <v>241.66666666666666</v>
      </c>
      <c r="CH62" s="11">
        <f t="shared" si="64"/>
        <v>241.66666666666666</v>
      </c>
      <c r="CI62" s="11">
        <f t="shared" si="64"/>
        <v>241.66666666666666</v>
      </c>
      <c r="CJ62" s="11">
        <f t="shared" si="64"/>
        <v>241.66666666666666</v>
      </c>
      <c r="CK62" s="11">
        <f t="shared" si="64"/>
        <v>241.66666666666666</v>
      </c>
      <c r="CL62" s="11">
        <f t="shared" si="64"/>
        <v>241.66666666666666</v>
      </c>
      <c r="CM62" s="11">
        <f t="shared" si="64"/>
        <v>241.66666666666666</v>
      </c>
      <c r="CN62" s="11">
        <f t="shared" si="64"/>
        <v>241.66666666666666</v>
      </c>
      <c r="CO62" s="11">
        <f t="shared" si="64"/>
        <v>241.66666666666666</v>
      </c>
      <c r="CP62" s="11">
        <f t="shared" si="64"/>
        <v>241.66666666666666</v>
      </c>
      <c r="CQ62" s="11">
        <f t="shared" si="64"/>
        <v>241.66666666666666</v>
      </c>
    </row>
    <row r="63" spans="1:96" x14ac:dyDescent="0.3">
      <c r="A63">
        <v>60</v>
      </c>
      <c r="B63" s="14">
        <v>45280</v>
      </c>
      <c r="C63" s="14" t="s">
        <v>236</v>
      </c>
      <c r="D63" t="s">
        <v>117</v>
      </c>
      <c r="E63" s="9">
        <v>15000</v>
      </c>
      <c r="F63" s="19">
        <f>E63/60</f>
        <v>250</v>
      </c>
      <c r="G63" s="14">
        <v>47087</v>
      </c>
      <c r="H63" s="11">
        <f t="shared" si="4"/>
        <v>0</v>
      </c>
      <c r="AD63" s="11"/>
      <c r="AE63" s="11"/>
      <c r="AF63" s="11"/>
      <c r="AG63" s="11"/>
      <c r="AH63" s="11"/>
      <c r="AI63" s="11"/>
      <c r="AJ63" s="11"/>
      <c r="AK63" s="11">
        <f t="shared" ref="AK63:CR63" si="65">$F$63</f>
        <v>250</v>
      </c>
      <c r="AL63" s="11">
        <f t="shared" si="65"/>
        <v>250</v>
      </c>
      <c r="AM63" s="11">
        <f t="shared" si="65"/>
        <v>250</v>
      </c>
      <c r="AN63" s="11">
        <f t="shared" si="65"/>
        <v>250</v>
      </c>
      <c r="AO63" s="11">
        <f t="shared" si="65"/>
        <v>250</v>
      </c>
      <c r="AP63" s="11">
        <f t="shared" si="65"/>
        <v>250</v>
      </c>
      <c r="AQ63" s="11">
        <f t="shared" si="65"/>
        <v>250</v>
      </c>
      <c r="AR63" s="11">
        <f t="shared" si="65"/>
        <v>250</v>
      </c>
      <c r="AS63" s="11">
        <f t="shared" si="65"/>
        <v>250</v>
      </c>
      <c r="AT63" s="11">
        <f t="shared" si="65"/>
        <v>250</v>
      </c>
      <c r="AU63" s="11">
        <f t="shared" si="65"/>
        <v>250</v>
      </c>
      <c r="AV63" s="11">
        <f t="shared" si="65"/>
        <v>250</v>
      </c>
      <c r="AW63" s="208">
        <f t="shared" si="65"/>
        <v>250</v>
      </c>
      <c r="AX63" s="208">
        <f t="shared" si="65"/>
        <v>250</v>
      </c>
      <c r="AY63" s="208">
        <f t="shared" si="65"/>
        <v>250</v>
      </c>
      <c r="AZ63" s="208">
        <f t="shared" si="65"/>
        <v>250</v>
      </c>
      <c r="BA63" s="208">
        <f t="shared" si="65"/>
        <v>250</v>
      </c>
      <c r="BB63" s="208">
        <f t="shared" si="65"/>
        <v>250</v>
      </c>
      <c r="BC63" s="208">
        <f t="shared" si="65"/>
        <v>250</v>
      </c>
      <c r="BD63" s="208">
        <f t="shared" si="65"/>
        <v>250</v>
      </c>
      <c r="BE63" s="208">
        <f t="shared" si="65"/>
        <v>250</v>
      </c>
      <c r="BF63" s="208">
        <f t="shared" si="65"/>
        <v>250</v>
      </c>
      <c r="BG63" s="208">
        <f t="shared" si="65"/>
        <v>250</v>
      </c>
      <c r="BH63" s="208">
        <f t="shared" si="65"/>
        <v>250</v>
      </c>
      <c r="BI63" s="208">
        <f t="shared" si="65"/>
        <v>250</v>
      </c>
      <c r="BJ63" s="11">
        <f t="shared" si="65"/>
        <v>250</v>
      </c>
      <c r="BK63" s="11">
        <f t="shared" si="65"/>
        <v>250</v>
      </c>
      <c r="BL63" s="11">
        <f t="shared" si="65"/>
        <v>250</v>
      </c>
      <c r="BM63" s="11">
        <f t="shared" si="65"/>
        <v>250</v>
      </c>
      <c r="BN63" s="11">
        <f t="shared" si="65"/>
        <v>250</v>
      </c>
      <c r="BO63" s="11">
        <f t="shared" si="65"/>
        <v>250</v>
      </c>
      <c r="BP63" s="11">
        <f t="shared" si="65"/>
        <v>250</v>
      </c>
      <c r="BQ63" s="11">
        <f t="shared" si="65"/>
        <v>250</v>
      </c>
      <c r="BR63" s="11">
        <f t="shared" si="65"/>
        <v>250</v>
      </c>
      <c r="BS63" s="11">
        <f t="shared" si="65"/>
        <v>250</v>
      </c>
      <c r="BT63" s="11">
        <f t="shared" si="65"/>
        <v>250</v>
      </c>
      <c r="BU63" s="11">
        <f t="shared" si="65"/>
        <v>250</v>
      </c>
      <c r="BV63" s="11">
        <f t="shared" si="65"/>
        <v>250</v>
      </c>
      <c r="BW63" s="11">
        <f t="shared" si="65"/>
        <v>250</v>
      </c>
      <c r="BX63" s="11">
        <f t="shared" si="65"/>
        <v>250</v>
      </c>
      <c r="BY63" s="11">
        <f t="shared" si="65"/>
        <v>250</v>
      </c>
      <c r="BZ63" s="11">
        <f t="shared" si="65"/>
        <v>250</v>
      </c>
      <c r="CA63" s="11">
        <f t="shared" si="65"/>
        <v>250</v>
      </c>
      <c r="CB63" s="11">
        <f t="shared" si="65"/>
        <v>250</v>
      </c>
      <c r="CC63" s="11">
        <f t="shared" si="65"/>
        <v>250</v>
      </c>
      <c r="CD63" s="11">
        <f t="shared" si="65"/>
        <v>250</v>
      </c>
      <c r="CE63" s="11">
        <f t="shared" si="65"/>
        <v>250</v>
      </c>
      <c r="CF63" s="11">
        <f t="shared" si="65"/>
        <v>250</v>
      </c>
      <c r="CG63" s="11">
        <f t="shared" si="65"/>
        <v>250</v>
      </c>
      <c r="CH63" s="11">
        <f t="shared" si="65"/>
        <v>250</v>
      </c>
      <c r="CI63" s="11">
        <f t="shared" si="65"/>
        <v>250</v>
      </c>
      <c r="CJ63" s="11">
        <f t="shared" si="65"/>
        <v>250</v>
      </c>
      <c r="CK63" s="11">
        <f t="shared" si="65"/>
        <v>250</v>
      </c>
      <c r="CL63" s="11">
        <f t="shared" si="65"/>
        <v>250</v>
      </c>
      <c r="CM63" s="11">
        <f t="shared" si="65"/>
        <v>250</v>
      </c>
      <c r="CN63" s="11">
        <f t="shared" si="65"/>
        <v>250</v>
      </c>
      <c r="CO63" s="11">
        <f t="shared" si="65"/>
        <v>250</v>
      </c>
      <c r="CP63" s="11">
        <f t="shared" si="65"/>
        <v>250</v>
      </c>
      <c r="CQ63" s="11">
        <f t="shared" si="65"/>
        <v>250</v>
      </c>
      <c r="CR63" s="11">
        <f t="shared" si="65"/>
        <v>250</v>
      </c>
    </row>
    <row r="64" spans="1:96" x14ac:dyDescent="0.3">
      <c r="A64">
        <v>61</v>
      </c>
      <c r="B64" s="14">
        <v>45280</v>
      </c>
      <c r="C64" t="s">
        <v>237</v>
      </c>
      <c r="D64" t="s">
        <v>117</v>
      </c>
      <c r="E64" s="212">
        <v>18000</v>
      </c>
      <c r="F64" s="19">
        <f>E64/60</f>
        <v>300</v>
      </c>
      <c r="G64" s="14">
        <v>47087</v>
      </c>
      <c r="H64" s="11">
        <f t="shared" si="4"/>
        <v>0</v>
      </c>
      <c r="AD64" s="11"/>
      <c r="AE64" s="11"/>
      <c r="AF64" s="11"/>
      <c r="AG64" s="11"/>
      <c r="AH64" s="11"/>
      <c r="AI64" s="11"/>
      <c r="AJ64" s="11"/>
      <c r="AK64" s="11">
        <f>F64</f>
        <v>300</v>
      </c>
      <c r="AL64" s="11">
        <f>AK64</f>
        <v>300</v>
      </c>
      <c r="AM64" s="11">
        <f t="shared" ref="AM64:AV64" si="66">AL64</f>
        <v>300</v>
      </c>
      <c r="AN64" s="11">
        <f t="shared" si="66"/>
        <v>300</v>
      </c>
      <c r="AO64" s="11">
        <f t="shared" si="66"/>
        <v>300</v>
      </c>
      <c r="AP64" s="11">
        <f t="shared" si="66"/>
        <v>300</v>
      </c>
      <c r="AQ64" s="11">
        <f t="shared" si="66"/>
        <v>300</v>
      </c>
      <c r="AR64" s="11">
        <f t="shared" si="66"/>
        <v>300</v>
      </c>
      <c r="AS64" s="11">
        <f t="shared" si="66"/>
        <v>300</v>
      </c>
      <c r="AT64" s="11">
        <f t="shared" si="66"/>
        <v>300</v>
      </c>
      <c r="AU64" s="11">
        <f t="shared" si="66"/>
        <v>300</v>
      </c>
      <c r="AV64" s="11">
        <f t="shared" si="66"/>
        <v>300</v>
      </c>
      <c r="AW64" s="364">
        <f>AV64</f>
        <v>300</v>
      </c>
      <c r="AX64" s="208">
        <f>AW64</f>
        <v>300</v>
      </c>
      <c r="AY64" s="208">
        <f t="shared" ref="AY64:CR64" si="67">AX64</f>
        <v>300</v>
      </c>
      <c r="AZ64" s="208">
        <f t="shared" si="67"/>
        <v>300</v>
      </c>
      <c r="BA64" s="208">
        <f t="shared" si="67"/>
        <v>300</v>
      </c>
      <c r="BB64" s="208">
        <f t="shared" si="67"/>
        <v>300</v>
      </c>
      <c r="BC64" s="208">
        <f t="shared" si="67"/>
        <v>300</v>
      </c>
      <c r="BD64" s="208">
        <f t="shared" si="67"/>
        <v>300</v>
      </c>
      <c r="BE64" s="208">
        <f t="shared" si="67"/>
        <v>300</v>
      </c>
      <c r="BF64" s="208">
        <f t="shared" si="67"/>
        <v>300</v>
      </c>
      <c r="BG64" s="208">
        <f t="shared" si="67"/>
        <v>300</v>
      </c>
      <c r="BH64" s="208">
        <f t="shared" si="67"/>
        <v>300</v>
      </c>
      <c r="BI64" s="208">
        <f t="shared" si="67"/>
        <v>300</v>
      </c>
      <c r="BJ64" s="11">
        <f t="shared" si="67"/>
        <v>300</v>
      </c>
      <c r="BK64" s="11">
        <f t="shared" si="67"/>
        <v>300</v>
      </c>
      <c r="BL64" s="11">
        <f t="shared" si="67"/>
        <v>300</v>
      </c>
      <c r="BM64" s="11">
        <f t="shared" si="67"/>
        <v>300</v>
      </c>
      <c r="BN64" s="11">
        <f t="shared" si="67"/>
        <v>300</v>
      </c>
      <c r="BO64" s="11">
        <f t="shared" si="67"/>
        <v>300</v>
      </c>
      <c r="BP64" s="11">
        <f t="shared" si="67"/>
        <v>300</v>
      </c>
      <c r="BQ64" s="11">
        <f t="shared" si="67"/>
        <v>300</v>
      </c>
      <c r="BR64" s="11">
        <f t="shared" si="67"/>
        <v>300</v>
      </c>
      <c r="BS64" s="11">
        <f t="shared" si="67"/>
        <v>300</v>
      </c>
      <c r="BT64" s="11">
        <f t="shared" si="67"/>
        <v>300</v>
      </c>
      <c r="BU64" s="11">
        <f t="shared" si="67"/>
        <v>300</v>
      </c>
      <c r="BV64" s="11">
        <f t="shared" si="67"/>
        <v>300</v>
      </c>
      <c r="BW64" s="11">
        <f t="shared" si="67"/>
        <v>300</v>
      </c>
      <c r="BX64" s="11">
        <f t="shared" si="67"/>
        <v>300</v>
      </c>
      <c r="BY64" s="11">
        <f t="shared" si="67"/>
        <v>300</v>
      </c>
      <c r="BZ64" s="11">
        <f t="shared" si="67"/>
        <v>300</v>
      </c>
      <c r="CA64" s="11">
        <f t="shared" si="67"/>
        <v>300</v>
      </c>
      <c r="CB64" s="11">
        <f t="shared" si="67"/>
        <v>300</v>
      </c>
      <c r="CC64" s="11">
        <f t="shared" si="67"/>
        <v>300</v>
      </c>
      <c r="CD64" s="11">
        <f t="shared" si="67"/>
        <v>300</v>
      </c>
      <c r="CE64" s="11">
        <f t="shared" si="67"/>
        <v>300</v>
      </c>
      <c r="CF64" s="11">
        <f t="shared" si="67"/>
        <v>300</v>
      </c>
      <c r="CG64" s="11">
        <f t="shared" si="67"/>
        <v>300</v>
      </c>
      <c r="CH64" s="11">
        <f t="shared" si="67"/>
        <v>300</v>
      </c>
      <c r="CI64" s="11">
        <f t="shared" si="67"/>
        <v>300</v>
      </c>
      <c r="CJ64" s="11">
        <f t="shared" si="67"/>
        <v>300</v>
      </c>
      <c r="CK64" s="11">
        <f t="shared" si="67"/>
        <v>300</v>
      </c>
      <c r="CL64" s="11">
        <f t="shared" si="67"/>
        <v>300</v>
      </c>
      <c r="CM64" s="11">
        <f t="shared" si="67"/>
        <v>300</v>
      </c>
      <c r="CN64" s="11">
        <f t="shared" si="67"/>
        <v>300</v>
      </c>
      <c r="CO64" s="11">
        <f t="shared" si="67"/>
        <v>300</v>
      </c>
      <c r="CP64" s="11">
        <f t="shared" si="67"/>
        <v>300</v>
      </c>
      <c r="CQ64" s="11">
        <f t="shared" si="67"/>
        <v>300</v>
      </c>
      <c r="CR64" s="11">
        <f t="shared" si="67"/>
        <v>300</v>
      </c>
    </row>
    <row r="65" spans="1:102" x14ac:dyDescent="0.3">
      <c r="A65">
        <v>62</v>
      </c>
      <c r="B65" s="14">
        <v>45274</v>
      </c>
      <c r="C65" t="s">
        <v>221</v>
      </c>
      <c r="D65" t="s">
        <v>197</v>
      </c>
      <c r="E65" s="9">
        <v>11000</v>
      </c>
      <c r="F65" s="19">
        <f>E65/12</f>
        <v>916.66666666666663</v>
      </c>
      <c r="G65" s="14">
        <v>45626</v>
      </c>
      <c r="H65" s="11">
        <f t="shared" si="4"/>
        <v>0</v>
      </c>
      <c r="AD65" s="11"/>
      <c r="AE65" s="11"/>
      <c r="AF65" s="11"/>
      <c r="AG65" s="11"/>
      <c r="AH65" s="11"/>
      <c r="AI65" s="11"/>
      <c r="AJ65" s="11"/>
      <c r="AK65" s="11">
        <f t="shared" ref="AK65:AV65" si="68">$F$65</f>
        <v>916.66666666666663</v>
      </c>
      <c r="AL65" s="11">
        <f t="shared" si="68"/>
        <v>916.66666666666663</v>
      </c>
      <c r="AM65" s="11">
        <f t="shared" si="68"/>
        <v>916.66666666666663</v>
      </c>
      <c r="AN65" s="11">
        <f t="shared" si="68"/>
        <v>916.66666666666663</v>
      </c>
      <c r="AO65" s="11">
        <f t="shared" si="68"/>
        <v>916.66666666666663</v>
      </c>
      <c r="AP65" s="11">
        <f t="shared" si="68"/>
        <v>916.66666666666663</v>
      </c>
      <c r="AQ65" s="11">
        <f t="shared" si="68"/>
        <v>916.66666666666663</v>
      </c>
      <c r="AR65" s="11">
        <f t="shared" si="68"/>
        <v>916.66666666666663</v>
      </c>
      <c r="AS65" s="11">
        <f t="shared" si="68"/>
        <v>916.66666666666663</v>
      </c>
      <c r="AT65" s="11">
        <f t="shared" si="68"/>
        <v>916.66666666666663</v>
      </c>
      <c r="AU65" s="11">
        <f t="shared" si="68"/>
        <v>916.66666666666663</v>
      </c>
      <c r="AV65" s="11">
        <f t="shared" si="68"/>
        <v>916.66666666666663</v>
      </c>
      <c r="AW65" s="208"/>
      <c r="AX65" s="208"/>
      <c r="AY65" s="208"/>
      <c r="AZ65" s="208"/>
      <c r="BA65" s="208"/>
      <c r="BB65" s="208"/>
      <c r="BC65" s="208"/>
      <c r="BD65" s="208"/>
      <c r="BE65" s="208"/>
      <c r="BF65" s="208"/>
      <c r="BG65" s="208"/>
      <c r="BH65" s="208"/>
      <c r="BI65" s="208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</row>
    <row r="66" spans="1:102" x14ac:dyDescent="0.3">
      <c r="A66">
        <v>63</v>
      </c>
      <c r="B66" s="14">
        <v>45291</v>
      </c>
      <c r="C66" t="s">
        <v>220</v>
      </c>
      <c r="D66" t="s">
        <v>197</v>
      </c>
      <c r="E66" s="9">
        <v>8250</v>
      </c>
      <c r="F66" s="19">
        <f>E66/12</f>
        <v>687.5</v>
      </c>
      <c r="G66" s="14">
        <v>45261</v>
      </c>
      <c r="H66" s="11">
        <f t="shared" si="4"/>
        <v>0</v>
      </c>
      <c r="AD66" s="11"/>
      <c r="AE66" s="11"/>
      <c r="AF66" s="11"/>
      <c r="AG66" s="11"/>
      <c r="AH66" s="11"/>
      <c r="AI66" s="11"/>
      <c r="AJ66" s="11"/>
      <c r="AK66" s="11"/>
      <c r="AL66" s="11">
        <f t="shared" ref="AL66:AW66" si="69">$F$66</f>
        <v>687.5</v>
      </c>
      <c r="AM66" s="11">
        <f t="shared" si="69"/>
        <v>687.5</v>
      </c>
      <c r="AN66" s="11">
        <f t="shared" si="69"/>
        <v>687.5</v>
      </c>
      <c r="AO66" s="11">
        <f t="shared" si="69"/>
        <v>687.5</v>
      </c>
      <c r="AP66" s="11">
        <f t="shared" si="69"/>
        <v>687.5</v>
      </c>
      <c r="AQ66" s="11">
        <f t="shared" si="69"/>
        <v>687.5</v>
      </c>
      <c r="AR66" s="11">
        <f t="shared" si="69"/>
        <v>687.5</v>
      </c>
      <c r="AS66" s="11">
        <f t="shared" si="69"/>
        <v>687.5</v>
      </c>
      <c r="AT66" s="11">
        <f t="shared" si="69"/>
        <v>687.5</v>
      </c>
      <c r="AU66" s="11">
        <f t="shared" si="69"/>
        <v>687.5</v>
      </c>
      <c r="AV66" s="11">
        <f t="shared" si="69"/>
        <v>687.5</v>
      </c>
      <c r="AW66" s="208">
        <f t="shared" si="69"/>
        <v>687.5</v>
      </c>
      <c r="AX66" s="208"/>
      <c r="AY66" s="208"/>
      <c r="AZ66" s="208"/>
      <c r="BA66" s="208"/>
      <c r="BB66" s="208"/>
      <c r="BC66" s="208"/>
      <c r="BD66" s="208"/>
      <c r="BE66" s="208"/>
      <c r="BF66" s="208"/>
      <c r="BG66" s="208"/>
      <c r="BH66" s="208"/>
      <c r="BI66" s="208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</row>
    <row r="67" spans="1:102" x14ac:dyDescent="0.3">
      <c r="A67">
        <v>64</v>
      </c>
      <c r="B67" s="14">
        <v>44930</v>
      </c>
      <c r="C67" t="s">
        <v>238</v>
      </c>
      <c r="D67" t="s">
        <v>117</v>
      </c>
      <c r="E67" s="9">
        <v>8500</v>
      </c>
      <c r="F67" s="19">
        <f>E67/60</f>
        <v>141.66666666666666</v>
      </c>
      <c r="G67" s="14">
        <v>47118</v>
      </c>
      <c r="H67" s="11">
        <f t="shared" si="4"/>
        <v>0</v>
      </c>
      <c r="AD67" s="11"/>
      <c r="AE67" s="11"/>
      <c r="AF67" s="11"/>
      <c r="AG67" s="11"/>
      <c r="AH67" s="11"/>
      <c r="AI67" s="11"/>
      <c r="AJ67" s="11"/>
      <c r="AK67" s="11"/>
      <c r="AL67" s="11">
        <f t="shared" ref="AL67:CS67" si="70">$F$67</f>
        <v>141.66666666666666</v>
      </c>
      <c r="AM67" s="11">
        <f t="shared" si="70"/>
        <v>141.66666666666666</v>
      </c>
      <c r="AN67" s="11">
        <f t="shared" si="70"/>
        <v>141.66666666666666</v>
      </c>
      <c r="AO67" s="11">
        <f t="shared" si="70"/>
        <v>141.66666666666666</v>
      </c>
      <c r="AP67" s="11">
        <f t="shared" si="70"/>
        <v>141.66666666666666</v>
      </c>
      <c r="AQ67" s="11">
        <f t="shared" si="70"/>
        <v>141.66666666666666</v>
      </c>
      <c r="AR67" s="11">
        <f t="shared" si="70"/>
        <v>141.66666666666666</v>
      </c>
      <c r="AS67" s="11">
        <f t="shared" si="70"/>
        <v>141.66666666666666</v>
      </c>
      <c r="AT67" s="11">
        <f t="shared" si="70"/>
        <v>141.66666666666666</v>
      </c>
      <c r="AU67" s="11">
        <f t="shared" si="70"/>
        <v>141.66666666666666</v>
      </c>
      <c r="AV67" s="11">
        <f t="shared" si="70"/>
        <v>141.66666666666666</v>
      </c>
      <c r="AW67" s="208">
        <f t="shared" si="70"/>
        <v>141.66666666666666</v>
      </c>
      <c r="AX67" s="208">
        <f t="shared" si="70"/>
        <v>141.66666666666666</v>
      </c>
      <c r="AY67" s="208">
        <f t="shared" si="70"/>
        <v>141.66666666666666</v>
      </c>
      <c r="AZ67" s="208">
        <f t="shared" si="70"/>
        <v>141.66666666666666</v>
      </c>
      <c r="BA67" s="208">
        <f t="shared" si="70"/>
        <v>141.66666666666666</v>
      </c>
      <c r="BB67" s="208">
        <f t="shared" si="70"/>
        <v>141.66666666666666</v>
      </c>
      <c r="BC67" s="208">
        <f t="shared" si="70"/>
        <v>141.66666666666666</v>
      </c>
      <c r="BD67" s="208">
        <f t="shared" si="70"/>
        <v>141.66666666666666</v>
      </c>
      <c r="BE67" s="208">
        <f t="shared" si="70"/>
        <v>141.66666666666666</v>
      </c>
      <c r="BF67" s="208">
        <f t="shared" si="70"/>
        <v>141.66666666666666</v>
      </c>
      <c r="BG67" s="208">
        <f t="shared" si="70"/>
        <v>141.66666666666666</v>
      </c>
      <c r="BH67" s="208">
        <f t="shared" si="70"/>
        <v>141.66666666666666</v>
      </c>
      <c r="BI67" s="208">
        <f t="shared" si="70"/>
        <v>141.66666666666666</v>
      </c>
      <c r="BJ67" s="11">
        <f t="shared" si="70"/>
        <v>141.66666666666666</v>
      </c>
      <c r="BK67" s="11">
        <f t="shared" si="70"/>
        <v>141.66666666666666</v>
      </c>
      <c r="BL67" s="11">
        <f t="shared" si="70"/>
        <v>141.66666666666666</v>
      </c>
      <c r="BM67" s="11">
        <f t="shared" si="70"/>
        <v>141.66666666666666</v>
      </c>
      <c r="BN67" s="11">
        <f t="shared" si="70"/>
        <v>141.66666666666666</v>
      </c>
      <c r="BO67" s="11">
        <f t="shared" si="70"/>
        <v>141.66666666666666</v>
      </c>
      <c r="BP67" s="11">
        <f t="shared" si="70"/>
        <v>141.66666666666666</v>
      </c>
      <c r="BQ67" s="11">
        <f t="shared" si="70"/>
        <v>141.66666666666666</v>
      </c>
      <c r="BR67" s="11">
        <f t="shared" si="70"/>
        <v>141.66666666666666</v>
      </c>
      <c r="BS67" s="11">
        <f t="shared" si="70"/>
        <v>141.66666666666666</v>
      </c>
      <c r="BT67" s="11">
        <f t="shared" si="70"/>
        <v>141.66666666666666</v>
      </c>
      <c r="BU67" s="11">
        <f t="shared" si="70"/>
        <v>141.66666666666666</v>
      </c>
      <c r="BV67" s="11">
        <f t="shared" si="70"/>
        <v>141.66666666666666</v>
      </c>
      <c r="BW67" s="11">
        <f t="shared" si="70"/>
        <v>141.66666666666666</v>
      </c>
      <c r="BX67" s="11">
        <f t="shared" si="70"/>
        <v>141.66666666666666</v>
      </c>
      <c r="BY67" s="11">
        <f t="shared" si="70"/>
        <v>141.66666666666666</v>
      </c>
      <c r="BZ67" s="11">
        <f t="shared" si="70"/>
        <v>141.66666666666666</v>
      </c>
      <c r="CA67" s="11">
        <f t="shared" si="70"/>
        <v>141.66666666666666</v>
      </c>
      <c r="CB67" s="11">
        <f t="shared" si="70"/>
        <v>141.66666666666666</v>
      </c>
      <c r="CC67" s="11">
        <f t="shared" si="70"/>
        <v>141.66666666666666</v>
      </c>
      <c r="CD67" s="11">
        <f t="shared" si="70"/>
        <v>141.66666666666666</v>
      </c>
      <c r="CE67" s="11">
        <f t="shared" si="70"/>
        <v>141.66666666666666</v>
      </c>
      <c r="CF67" s="11">
        <f t="shared" si="70"/>
        <v>141.66666666666666</v>
      </c>
      <c r="CG67" s="11">
        <f t="shared" si="70"/>
        <v>141.66666666666666</v>
      </c>
      <c r="CH67" s="11">
        <f t="shared" si="70"/>
        <v>141.66666666666666</v>
      </c>
      <c r="CI67" s="11">
        <f t="shared" si="70"/>
        <v>141.66666666666666</v>
      </c>
      <c r="CJ67" s="11">
        <f t="shared" si="70"/>
        <v>141.66666666666666</v>
      </c>
      <c r="CK67" s="11">
        <f t="shared" si="70"/>
        <v>141.66666666666666</v>
      </c>
      <c r="CL67" s="11">
        <f t="shared" si="70"/>
        <v>141.66666666666666</v>
      </c>
      <c r="CM67" s="11">
        <f t="shared" si="70"/>
        <v>141.66666666666666</v>
      </c>
      <c r="CN67" s="11">
        <f t="shared" si="70"/>
        <v>141.66666666666666</v>
      </c>
      <c r="CO67" s="11">
        <f t="shared" si="70"/>
        <v>141.66666666666666</v>
      </c>
      <c r="CP67" s="11">
        <f t="shared" si="70"/>
        <v>141.66666666666666</v>
      </c>
      <c r="CQ67" s="11">
        <f t="shared" si="70"/>
        <v>141.66666666666666</v>
      </c>
      <c r="CR67" s="11">
        <f t="shared" si="70"/>
        <v>141.66666666666666</v>
      </c>
      <c r="CS67" s="11">
        <f t="shared" si="70"/>
        <v>141.66666666666666</v>
      </c>
      <c r="CT67" s="11"/>
    </row>
    <row r="68" spans="1:102" x14ac:dyDescent="0.3">
      <c r="A68">
        <v>65</v>
      </c>
      <c r="B68" s="14">
        <v>45299</v>
      </c>
      <c r="C68" t="s">
        <v>239</v>
      </c>
      <c r="D68" t="s">
        <v>117</v>
      </c>
      <c r="E68" s="9">
        <v>12250</v>
      </c>
      <c r="F68" s="19">
        <f>E68/60</f>
        <v>204.16666666666666</v>
      </c>
      <c r="G68" s="14">
        <v>47118</v>
      </c>
      <c r="H68" s="11">
        <f t="shared" ref="H68:H121" si="71">E68-SUM(I68:DP68)</f>
        <v>0</v>
      </c>
      <c r="AD68" s="11"/>
      <c r="AE68" s="11"/>
      <c r="AF68" s="11"/>
      <c r="AG68" s="11"/>
      <c r="AH68" s="11"/>
      <c r="AI68" s="11"/>
      <c r="AJ68" s="11"/>
      <c r="AK68" s="11"/>
      <c r="AL68" s="11">
        <f t="shared" ref="AL68:CS68" si="72">$F$68</f>
        <v>204.16666666666666</v>
      </c>
      <c r="AM68" s="11">
        <f t="shared" si="72"/>
        <v>204.16666666666666</v>
      </c>
      <c r="AN68" s="11">
        <f t="shared" si="72"/>
        <v>204.16666666666666</v>
      </c>
      <c r="AO68" s="11">
        <f t="shared" si="72"/>
        <v>204.16666666666666</v>
      </c>
      <c r="AP68" s="11">
        <f t="shared" si="72"/>
        <v>204.16666666666666</v>
      </c>
      <c r="AQ68" s="11">
        <f t="shared" si="72"/>
        <v>204.16666666666666</v>
      </c>
      <c r="AR68" s="11">
        <f t="shared" si="72"/>
        <v>204.16666666666666</v>
      </c>
      <c r="AS68" s="11">
        <f t="shared" si="72"/>
        <v>204.16666666666666</v>
      </c>
      <c r="AT68" s="11">
        <f t="shared" si="72"/>
        <v>204.16666666666666</v>
      </c>
      <c r="AU68" s="11">
        <f t="shared" si="72"/>
        <v>204.16666666666666</v>
      </c>
      <c r="AV68" s="11">
        <f t="shared" si="72"/>
        <v>204.16666666666666</v>
      </c>
      <c r="AW68" s="208">
        <f t="shared" si="72"/>
        <v>204.16666666666666</v>
      </c>
      <c r="AX68" s="208">
        <f t="shared" si="72"/>
        <v>204.16666666666666</v>
      </c>
      <c r="AY68" s="208">
        <f t="shared" si="72"/>
        <v>204.16666666666666</v>
      </c>
      <c r="AZ68" s="208">
        <f t="shared" si="72"/>
        <v>204.16666666666666</v>
      </c>
      <c r="BA68" s="208">
        <f t="shared" si="72"/>
        <v>204.16666666666666</v>
      </c>
      <c r="BB68" s="208">
        <f t="shared" si="72"/>
        <v>204.16666666666666</v>
      </c>
      <c r="BC68" s="208">
        <f t="shared" si="72"/>
        <v>204.16666666666666</v>
      </c>
      <c r="BD68" s="208">
        <f t="shared" si="72"/>
        <v>204.16666666666666</v>
      </c>
      <c r="BE68" s="208">
        <f t="shared" si="72"/>
        <v>204.16666666666666</v>
      </c>
      <c r="BF68" s="208">
        <f t="shared" si="72"/>
        <v>204.16666666666666</v>
      </c>
      <c r="BG68" s="208">
        <f t="shared" si="72"/>
        <v>204.16666666666666</v>
      </c>
      <c r="BH68" s="208">
        <f t="shared" si="72"/>
        <v>204.16666666666666</v>
      </c>
      <c r="BI68" s="208">
        <f t="shared" si="72"/>
        <v>204.16666666666666</v>
      </c>
      <c r="BJ68" s="11">
        <f t="shared" si="72"/>
        <v>204.16666666666666</v>
      </c>
      <c r="BK68" s="11">
        <f t="shared" si="72"/>
        <v>204.16666666666666</v>
      </c>
      <c r="BL68" s="11">
        <f t="shared" si="72"/>
        <v>204.16666666666666</v>
      </c>
      <c r="BM68" s="11">
        <f t="shared" si="72"/>
        <v>204.16666666666666</v>
      </c>
      <c r="BN68" s="11">
        <f t="shared" si="72"/>
        <v>204.16666666666666</v>
      </c>
      <c r="BO68" s="11">
        <f t="shared" si="72"/>
        <v>204.16666666666666</v>
      </c>
      <c r="BP68" s="11">
        <f t="shared" si="72"/>
        <v>204.16666666666666</v>
      </c>
      <c r="BQ68" s="11">
        <f t="shared" si="72"/>
        <v>204.16666666666666</v>
      </c>
      <c r="BR68" s="11">
        <f t="shared" si="72"/>
        <v>204.16666666666666</v>
      </c>
      <c r="BS68" s="11">
        <f t="shared" si="72"/>
        <v>204.16666666666666</v>
      </c>
      <c r="BT68" s="11">
        <f t="shared" si="72"/>
        <v>204.16666666666666</v>
      </c>
      <c r="BU68" s="11">
        <f t="shared" si="72"/>
        <v>204.16666666666666</v>
      </c>
      <c r="BV68" s="11">
        <f t="shared" si="72"/>
        <v>204.16666666666666</v>
      </c>
      <c r="BW68" s="11">
        <f t="shared" si="72"/>
        <v>204.16666666666666</v>
      </c>
      <c r="BX68" s="11">
        <f t="shared" si="72"/>
        <v>204.16666666666666</v>
      </c>
      <c r="BY68" s="11">
        <f t="shared" si="72"/>
        <v>204.16666666666666</v>
      </c>
      <c r="BZ68" s="11">
        <f t="shared" si="72"/>
        <v>204.16666666666666</v>
      </c>
      <c r="CA68" s="11">
        <f t="shared" si="72"/>
        <v>204.16666666666666</v>
      </c>
      <c r="CB68" s="11">
        <f t="shared" si="72"/>
        <v>204.16666666666666</v>
      </c>
      <c r="CC68" s="11">
        <f t="shared" si="72"/>
        <v>204.16666666666666</v>
      </c>
      <c r="CD68" s="11">
        <f t="shared" si="72"/>
        <v>204.16666666666666</v>
      </c>
      <c r="CE68" s="11">
        <f t="shared" si="72"/>
        <v>204.16666666666666</v>
      </c>
      <c r="CF68" s="11">
        <f t="shared" si="72"/>
        <v>204.16666666666666</v>
      </c>
      <c r="CG68" s="11">
        <f t="shared" si="72"/>
        <v>204.16666666666666</v>
      </c>
      <c r="CH68" s="11">
        <f t="shared" si="72"/>
        <v>204.16666666666666</v>
      </c>
      <c r="CI68" s="11">
        <f t="shared" si="72"/>
        <v>204.16666666666666</v>
      </c>
      <c r="CJ68" s="11">
        <f t="shared" si="72"/>
        <v>204.16666666666666</v>
      </c>
      <c r="CK68" s="11">
        <f t="shared" si="72"/>
        <v>204.16666666666666</v>
      </c>
      <c r="CL68" s="11">
        <f t="shared" si="72"/>
        <v>204.16666666666666</v>
      </c>
      <c r="CM68" s="11">
        <f t="shared" si="72"/>
        <v>204.16666666666666</v>
      </c>
      <c r="CN68" s="11">
        <f t="shared" si="72"/>
        <v>204.16666666666666</v>
      </c>
      <c r="CO68" s="11">
        <f t="shared" si="72"/>
        <v>204.16666666666666</v>
      </c>
      <c r="CP68" s="11">
        <f t="shared" si="72"/>
        <v>204.16666666666666</v>
      </c>
      <c r="CQ68" s="11">
        <f t="shared" si="72"/>
        <v>204.16666666666666</v>
      </c>
      <c r="CR68" s="11">
        <f t="shared" si="72"/>
        <v>204.16666666666666</v>
      </c>
      <c r="CS68" s="11">
        <f t="shared" si="72"/>
        <v>204.16666666666666</v>
      </c>
      <c r="CT68" s="11"/>
    </row>
    <row r="69" spans="1:102" x14ac:dyDescent="0.3">
      <c r="A69">
        <v>66</v>
      </c>
      <c r="B69" s="14">
        <v>45301</v>
      </c>
      <c r="C69" t="s">
        <v>240</v>
      </c>
      <c r="D69" t="s">
        <v>117</v>
      </c>
      <c r="E69" s="9">
        <v>19000</v>
      </c>
      <c r="F69" s="19">
        <f>E69/60</f>
        <v>316.66666666666669</v>
      </c>
      <c r="G69" s="14">
        <v>47118</v>
      </c>
      <c r="H69" s="11">
        <f t="shared" si="71"/>
        <v>0</v>
      </c>
      <c r="AD69" s="11"/>
      <c r="AE69" s="11"/>
      <c r="AF69" s="11"/>
      <c r="AG69" s="11"/>
      <c r="AH69" s="11"/>
      <c r="AI69" s="11"/>
      <c r="AJ69" s="11"/>
      <c r="AK69" s="11"/>
      <c r="AL69" s="11">
        <f t="shared" ref="AL69:CS69" si="73">$F$69</f>
        <v>316.66666666666669</v>
      </c>
      <c r="AM69" s="11">
        <f t="shared" si="73"/>
        <v>316.66666666666669</v>
      </c>
      <c r="AN69" s="11">
        <f t="shared" si="73"/>
        <v>316.66666666666669</v>
      </c>
      <c r="AO69" s="11">
        <f t="shared" si="73"/>
        <v>316.66666666666669</v>
      </c>
      <c r="AP69" s="11">
        <f t="shared" si="73"/>
        <v>316.66666666666669</v>
      </c>
      <c r="AQ69" s="11">
        <f t="shared" si="73"/>
        <v>316.66666666666669</v>
      </c>
      <c r="AR69" s="11">
        <f t="shared" si="73"/>
        <v>316.66666666666669</v>
      </c>
      <c r="AS69" s="11">
        <f t="shared" si="73"/>
        <v>316.66666666666669</v>
      </c>
      <c r="AT69" s="11">
        <f t="shared" si="73"/>
        <v>316.66666666666669</v>
      </c>
      <c r="AU69" s="11">
        <f t="shared" si="73"/>
        <v>316.66666666666669</v>
      </c>
      <c r="AV69" s="11">
        <f t="shared" si="73"/>
        <v>316.66666666666669</v>
      </c>
      <c r="AW69" s="208">
        <f t="shared" si="73"/>
        <v>316.66666666666669</v>
      </c>
      <c r="AX69" s="208">
        <f t="shared" si="73"/>
        <v>316.66666666666669</v>
      </c>
      <c r="AY69" s="208">
        <f t="shared" si="73"/>
        <v>316.66666666666669</v>
      </c>
      <c r="AZ69" s="208">
        <f t="shared" si="73"/>
        <v>316.66666666666669</v>
      </c>
      <c r="BA69" s="208">
        <f t="shared" si="73"/>
        <v>316.66666666666669</v>
      </c>
      <c r="BB69" s="208">
        <f t="shared" si="73"/>
        <v>316.66666666666669</v>
      </c>
      <c r="BC69" s="208">
        <f t="shared" si="73"/>
        <v>316.66666666666669</v>
      </c>
      <c r="BD69" s="208">
        <f t="shared" si="73"/>
        <v>316.66666666666669</v>
      </c>
      <c r="BE69" s="208">
        <f t="shared" si="73"/>
        <v>316.66666666666669</v>
      </c>
      <c r="BF69" s="208">
        <f t="shared" si="73"/>
        <v>316.66666666666669</v>
      </c>
      <c r="BG69" s="208">
        <f t="shared" si="73"/>
        <v>316.66666666666669</v>
      </c>
      <c r="BH69" s="208">
        <f t="shared" si="73"/>
        <v>316.66666666666669</v>
      </c>
      <c r="BI69" s="208">
        <f t="shared" si="73"/>
        <v>316.66666666666669</v>
      </c>
      <c r="BJ69" s="11">
        <f t="shared" si="73"/>
        <v>316.66666666666669</v>
      </c>
      <c r="BK69" s="11">
        <f t="shared" si="73"/>
        <v>316.66666666666669</v>
      </c>
      <c r="BL69" s="11">
        <f t="shared" si="73"/>
        <v>316.66666666666669</v>
      </c>
      <c r="BM69" s="11">
        <f t="shared" si="73"/>
        <v>316.66666666666669</v>
      </c>
      <c r="BN69" s="11">
        <f t="shared" si="73"/>
        <v>316.66666666666669</v>
      </c>
      <c r="BO69" s="11">
        <f t="shared" si="73"/>
        <v>316.66666666666669</v>
      </c>
      <c r="BP69" s="11">
        <f t="shared" si="73"/>
        <v>316.66666666666669</v>
      </c>
      <c r="BQ69" s="11">
        <f t="shared" si="73"/>
        <v>316.66666666666669</v>
      </c>
      <c r="BR69" s="11">
        <f t="shared" si="73"/>
        <v>316.66666666666669</v>
      </c>
      <c r="BS69" s="11">
        <f t="shared" si="73"/>
        <v>316.66666666666669</v>
      </c>
      <c r="BT69" s="11">
        <f t="shared" si="73"/>
        <v>316.66666666666669</v>
      </c>
      <c r="BU69" s="11">
        <f t="shared" si="73"/>
        <v>316.66666666666669</v>
      </c>
      <c r="BV69" s="11">
        <f t="shared" si="73"/>
        <v>316.66666666666669</v>
      </c>
      <c r="BW69" s="11">
        <f t="shared" si="73"/>
        <v>316.66666666666669</v>
      </c>
      <c r="BX69" s="11">
        <f t="shared" si="73"/>
        <v>316.66666666666669</v>
      </c>
      <c r="BY69" s="11">
        <f t="shared" si="73"/>
        <v>316.66666666666669</v>
      </c>
      <c r="BZ69" s="11">
        <f t="shared" si="73"/>
        <v>316.66666666666669</v>
      </c>
      <c r="CA69" s="11">
        <f t="shared" si="73"/>
        <v>316.66666666666669</v>
      </c>
      <c r="CB69" s="11">
        <f t="shared" si="73"/>
        <v>316.66666666666669</v>
      </c>
      <c r="CC69" s="11">
        <f t="shared" si="73"/>
        <v>316.66666666666669</v>
      </c>
      <c r="CD69" s="11">
        <f t="shared" si="73"/>
        <v>316.66666666666669</v>
      </c>
      <c r="CE69" s="11">
        <f t="shared" si="73"/>
        <v>316.66666666666669</v>
      </c>
      <c r="CF69" s="11">
        <f t="shared" si="73"/>
        <v>316.66666666666669</v>
      </c>
      <c r="CG69" s="11">
        <f t="shared" si="73"/>
        <v>316.66666666666669</v>
      </c>
      <c r="CH69" s="11">
        <f t="shared" si="73"/>
        <v>316.66666666666669</v>
      </c>
      <c r="CI69" s="11">
        <f t="shared" si="73"/>
        <v>316.66666666666669</v>
      </c>
      <c r="CJ69" s="11">
        <f t="shared" si="73"/>
        <v>316.66666666666669</v>
      </c>
      <c r="CK69" s="11">
        <f t="shared" si="73"/>
        <v>316.66666666666669</v>
      </c>
      <c r="CL69" s="11">
        <f t="shared" si="73"/>
        <v>316.66666666666669</v>
      </c>
      <c r="CM69" s="11">
        <f t="shared" si="73"/>
        <v>316.66666666666669</v>
      </c>
      <c r="CN69" s="11">
        <f t="shared" si="73"/>
        <v>316.66666666666669</v>
      </c>
      <c r="CO69" s="11">
        <f t="shared" si="73"/>
        <v>316.66666666666669</v>
      </c>
      <c r="CP69" s="11">
        <f t="shared" si="73"/>
        <v>316.66666666666669</v>
      </c>
      <c r="CQ69" s="11">
        <f t="shared" si="73"/>
        <v>316.66666666666669</v>
      </c>
      <c r="CR69" s="11">
        <f t="shared" si="73"/>
        <v>316.66666666666669</v>
      </c>
      <c r="CS69" s="11">
        <f t="shared" si="73"/>
        <v>316.66666666666669</v>
      </c>
      <c r="CT69" s="11"/>
    </row>
    <row r="70" spans="1:102" x14ac:dyDescent="0.3">
      <c r="A70">
        <v>67</v>
      </c>
      <c r="B70" s="14">
        <v>45322</v>
      </c>
      <c r="C70" t="s">
        <v>199</v>
      </c>
      <c r="D70" t="s">
        <v>197</v>
      </c>
      <c r="E70" s="9">
        <v>1000</v>
      </c>
      <c r="F70" s="19">
        <f>E70</f>
        <v>1000</v>
      </c>
      <c r="G70" s="14">
        <v>45350</v>
      </c>
      <c r="H70" s="11">
        <f t="shared" si="71"/>
        <v>0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>
        <f>F70</f>
        <v>1000</v>
      </c>
      <c r="AN70" s="11"/>
      <c r="AO70" s="11"/>
      <c r="AP70" s="11"/>
      <c r="AQ70" s="11"/>
      <c r="AR70" s="11"/>
      <c r="AS70" s="11"/>
      <c r="AT70" s="11"/>
      <c r="AU70" s="11"/>
      <c r="AV70" s="11"/>
      <c r="AW70" s="208"/>
      <c r="AX70" s="208"/>
      <c r="AY70" s="208"/>
      <c r="AZ70" s="208"/>
      <c r="BA70" s="208"/>
      <c r="BB70" s="208"/>
      <c r="BC70" s="208"/>
      <c r="BD70" s="208"/>
      <c r="BE70" s="208"/>
      <c r="BF70" s="208"/>
      <c r="BG70" s="208"/>
      <c r="BH70" s="208"/>
      <c r="BI70" s="208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</row>
    <row r="71" spans="1:102" x14ac:dyDescent="0.3">
      <c r="A71">
        <v>68</v>
      </c>
      <c r="B71" s="14">
        <v>45340</v>
      </c>
      <c r="C71" t="s">
        <v>241</v>
      </c>
      <c r="D71" t="s">
        <v>117</v>
      </c>
      <c r="E71" s="9">
        <v>12250</v>
      </c>
      <c r="F71" s="19">
        <f>E71/60</f>
        <v>204.16666666666666</v>
      </c>
      <c r="G71" s="14">
        <v>47149</v>
      </c>
      <c r="H71" s="11">
        <f t="shared" si="71"/>
        <v>0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>
        <f t="shared" ref="AM71:CT71" si="74">$F$71</f>
        <v>204.16666666666666</v>
      </c>
      <c r="AN71" s="11">
        <f t="shared" si="74"/>
        <v>204.16666666666666</v>
      </c>
      <c r="AO71" s="11">
        <f t="shared" si="74"/>
        <v>204.16666666666666</v>
      </c>
      <c r="AP71" s="11">
        <f t="shared" si="74"/>
        <v>204.16666666666666</v>
      </c>
      <c r="AQ71" s="11">
        <f t="shared" si="74"/>
        <v>204.16666666666666</v>
      </c>
      <c r="AR71" s="11">
        <f t="shared" si="74"/>
        <v>204.16666666666666</v>
      </c>
      <c r="AS71" s="11">
        <f t="shared" si="74"/>
        <v>204.16666666666666</v>
      </c>
      <c r="AT71" s="11">
        <f t="shared" si="74"/>
        <v>204.16666666666666</v>
      </c>
      <c r="AU71" s="11">
        <f t="shared" si="74"/>
        <v>204.16666666666666</v>
      </c>
      <c r="AV71" s="11">
        <f t="shared" si="74"/>
        <v>204.16666666666666</v>
      </c>
      <c r="AW71" s="208">
        <f t="shared" si="74"/>
        <v>204.16666666666666</v>
      </c>
      <c r="AX71" s="208">
        <f t="shared" si="74"/>
        <v>204.16666666666666</v>
      </c>
      <c r="AY71" s="208">
        <f t="shared" si="74"/>
        <v>204.16666666666666</v>
      </c>
      <c r="AZ71" s="208">
        <f t="shared" si="74"/>
        <v>204.16666666666666</v>
      </c>
      <c r="BA71" s="208">
        <f t="shared" si="74"/>
        <v>204.16666666666666</v>
      </c>
      <c r="BB71" s="208">
        <f t="shared" si="74"/>
        <v>204.16666666666666</v>
      </c>
      <c r="BC71" s="208">
        <f t="shared" si="74"/>
        <v>204.16666666666666</v>
      </c>
      <c r="BD71" s="208">
        <f t="shared" si="74"/>
        <v>204.16666666666666</v>
      </c>
      <c r="BE71" s="208">
        <f t="shared" si="74"/>
        <v>204.16666666666666</v>
      </c>
      <c r="BF71" s="208">
        <f t="shared" si="74"/>
        <v>204.16666666666666</v>
      </c>
      <c r="BG71" s="208">
        <f t="shared" si="74"/>
        <v>204.16666666666666</v>
      </c>
      <c r="BH71" s="208">
        <f t="shared" si="74"/>
        <v>204.16666666666666</v>
      </c>
      <c r="BI71" s="208">
        <f t="shared" si="74"/>
        <v>204.16666666666666</v>
      </c>
      <c r="BJ71" s="11">
        <f t="shared" si="74"/>
        <v>204.16666666666666</v>
      </c>
      <c r="BK71" s="11">
        <f t="shared" si="74"/>
        <v>204.16666666666666</v>
      </c>
      <c r="BL71" s="11">
        <f t="shared" si="74"/>
        <v>204.16666666666666</v>
      </c>
      <c r="BM71" s="11">
        <f t="shared" si="74"/>
        <v>204.16666666666666</v>
      </c>
      <c r="BN71" s="11">
        <f t="shared" si="74"/>
        <v>204.16666666666666</v>
      </c>
      <c r="BO71" s="11">
        <f t="shared" si="74"/>
        <v>204.16666666666666</v>
      </c>
      <c r="BP71" s="11">
        <f t="shared" si="74"/>
        <v>204.16666666666666</v>
      </c>
      <c r="BQ71" s="11">
        <f t="shared" si="74"/>
        <v>204.16666666666666</v>
      </c>
      <c r="BR71" s="11">
        <f t="shared" si="74"/>
        <v>204.16666666666666</v>
      </c>
      <c r="BS71" s="11">
        <f t="shared" si="74"/>
        <v>204.16666666666666</v>
      </c>
      <c r="BT71" s="11">
        <f t="shared" si="74"/>
        <v>204.16666666666666</v>
      </c>
      <c r="BU71" s="11">
        <f t="shared" si="74"/>
        <v>204.16666666666666</v>
      </c>
      <c r="BV71" s="11">
        <f t="shared" si="74"/>
        <v>204.16666666666666</v>
      </c>
      <c r="BW71" s="11">
        <f t="shared" si="74"/>
        <v>204.16666666666666</v>
      </c>
      <c r="BX71" s="11">
        <f t="shared" si="74"/>
        <v>204.16666666666666</v>
      </c>
      <c r="BY71" s="11">
        <f t="shared" si="74"/>
        <v>204.16666666666666</v>
      </c>
      <c r="BZ71" s="11">
        <f t="shared" si="74"/>
        <v>204.16666666666666</v>
      </c>
      <c r="CA71" s="11">
        <f t="shared" si="74"/>
        <v>204.16666666666666</v>
      </c>
      <c r="CB71" s="11">
        <f t="shared" si="74"/>
        <v>204.16666666666666</v>
      </c>
      <c r="CC71" s="11">
        <f t="shared" si="74"/>
        <v>204.16666666666666</v>
      </c>
      <c r="CD71" s="11">
        <f t="shared" si="74"/>
        <v>204.16666666666666</v>
      </c>
      <c r="CE71" s="11">
        <f t="shared" si="74"/>
        <v>204.16666666666666</v>
      </c>
      <c r="CF71" s="11">
        <f t="shared" si="74"/>
        <v>204.16666666666666</v>
      </c>
      <c r="CG71" s="11">
        <f t="shared" si="74"/>
        <v>204.16666666666666</v>
      </c>
      <c r="CH71" s="11">
        <f t="shared" si="74"/>
        <v>204.16666666666666</v>
      </c>
      <c r="CI71" s="11">
        <f t="shared" si="74"/>
        <v>204.16666666666666</v>
      </c>
      <c r="CJ71" s="11">
        <f t="shared" si="74"/>
        <v>204.16666666666666</v>
      </c>
      <c r="CK71" s="11">
        <f t="shared" si="74"/>
        <v>204.16666666666666</v>
      </c>
      <c r="CL71" s="11">
        <f t="shared" si="74"/>
        <v>204.16666666666666</v>
      </c>
      <c r="CM71" s="11">
        <f t="shared" si="74"/>
        <v>204.16666666666666</v>
      </c>
      <c r="CN71" s="11">
        <f t="shared" si="74"/>
        <v>204.16666666666666</v>
      </c>
      <c r="CO71" s="11">
        <f t="shared" si="74"/>
        <v>204.16666666666666</v>
      </c>
      <c r="CP71" s="11">
        <f t="shared" si="74"/>
        <v>204.16666666666666</v>
      </c>
      <c r="CQ71" s="11">
        <f t="shared" si="74"/>
        <v>204.16666666666666</v>
      </c>
      <c r="CR71" s="11">
        <f t="shared" si="74"/>
        <v>204.16666666666666</v>
      </c>
      <c r="CS71" s="11">
        <f t="shared" si="74"/>
        <v>204.16666666666666</v>
      </c>
      <c r="CT71" s="11">
        <f t="shared" si="74"/>
        <v>204.16666666666666</v>
      </c>
    </row>
    <row r="72" spans="1:102" x14ac:dyDescent="0.3">
      <c r="A72">
        <v>69</v>
      </c>
      <c r="B72" s="14">
        <v>45350</v>
      </c>
      <c r="C72" t="s">
        <v>199</v>
      </c>
      <c r="D72" t="s">
        <v>197</v>
      </c>
      <c r="E72" s="9">
        <v>1000</v>
      </c>
      <c r="F72" s="19">
        <v>1000</v>
      </c>
      <c r="G72" s="14">
        <v>45382</v>
      </c>
      <c r="H72" s="11">
        <f t="shared" si="71"/>
        <v>0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>
        <f>F72</f>
        <v>1000</v>
      </c>
      <c r="AO72" s="11"/>
      <c r="AP72" s="11"/>
      <c r="AQ72" s="11"/>
      <c r="AR72" s="11"/>
      <c r="AS72" s="11"/>
      <c r="AT72" s="11"/>
      <c r="AU72" s="11"/>
      <c r="AV72" s="11"/>
      <c r="AW72" s="208"/>
      <c r="AX72" s="208"/>
      <c r="AY72" s="208"/>
      <c r="AZ72" s="208"/>
      <c r="BA72" s="208"/>
      <c r="BB72" s="208"/>
      <c r="BC72" s="208"/>
      <c r="BD72" s="208"/>
      <c r="BE72" s="208"/>
      <c r="BF72" s="208"/>
      <c r="BG72" s="208"/>
      <c r="BH72" s="208"/>
      <c r="BI72" s="208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</row>
    <row r="73" spans="1:102" x14ac:dyDescent="0.3">
      <c r="A73">
        <v>70</v>
      </c>
      <c r="B73" s="14">
        <v>45350</v>
      </c>
      <c r="C73" t="s">
        <v>242</v>
      </c>
      <c r="D73" t="s">
        <v>197</v>
      </c>
      <c r="E73" s="9">
        <v>11000</v>
      </c>
      <c r="F73" s="19">
        <f>E73/12</f>
        <v>916.66666666666663</v>
      </c>
      <c r="G73" s="14">
        <v>45717</v>
      </c>
      <c r="H73" s="11">
        <f t="shared" si="71"/>
        <v>0</v>
      </c>
      <c r="AM73" s="11">
        <f t="shared" ref="AM73:AX73" si="75">$F$73</f>
        <v>916.66666666666663</v>
      </c>
      <c r="AN73" s="11">
        <f t="shared" si="75"/>
        <v>916.66666666666663</v>
      </c>
      <c r="AO73" s="11">
        <f t="shared" si="75"/>
        <v>916.66666666666663</v>
      </c>
      <c r="AP73" s="11">
        <f t="shared" si="75"/>
        <v>916.66666666666663</v>
      </c>
      <c r="AQ73" s="11">
        <f t="shared" si="75"/>
        <v>916.66666666666663</v>
      </c>
      <c r="AR73" s="11">
        <f t="shared" si="75"/>
        <v>916.66666666666663</v>
      </c>
      <c r="AS73" s="11">
        <f t="shared" si="75"/>
        <v>916.66666666666663</v>
      </c>
      <c r="AT73" s="11">
        <f t="shared" si="75"/>
        <v>916.66666666666663</v>
      </c>
      <c r="AU73" s="11">
        <f t="shared" si="75"/>
        <v>916.66666666666663</v>
      </c>
      <c r="AV73" s="11">
        <f t="shared" si="75"/>
        <v>916.66666666666663</v>
      </c>
      <c r="AW73" s="208">
        <f t="shared" si="75"/>
        <v>916.66666666666663</v>
      </c>
      <c r="AX73" s="208">
        <f t="shared" si="75"/>
        <v>916.66666666666663</v>
      </c>
      <c r="AY73" s="208"/>
      <c r="AZ73" s="208"/>
      <c r="BA73" s="208"/>
      <c r="BB73" s="208"/>
      <c r="BC73" s="208"/>
      <c r="BD73" s="208"/>
      <c r="BE73" s="208"/>
      <c r="BF73" s="208"/>
      <c r="BG73" s="208"/>
      <c r="BH73" s="208"/>
      <c r="BI73" s="208"/>
    </row>
    <row r="74" spans="1:102" x14ac:dyDescent="0.3">
      <c r="A74">
        <v>71</v>
      </c>
      <c r="B74" s="14">
        <v>45350</v>
      </c>
      <c r="C74" t="s">
        <v>240</v>
      </c>
      <c r="D74" t="s">
        <v>197</v>
      </c>
      <c r="E74" s="9">
        <v>1500</v>
      </c>
      <c r="F74" s="19">
        <v>1500</v>
      </c>
      <c r="G74" s="14">
        <v>45376</v>
      </c>
      <c r="H74" s="11">
        <f t="shared" si="71"/>
        <v>0</v>
      </c>
      <c r="AM74" s="11"/>
      <c r="AN74" s="11">
        <f>E74</f>
        <v>1500</v>
      </c>
      <c r="AO74" s="11"/>
      <c r="AP74" s="11"/>
      <c r="AQ74" s="11"/>
      <c r="AR74" s="11"/>
      <c r="AS74" s="11"/>
      <c r="AT74" s="11"/>
      <c r="AU74" s="11"/>
      <c r="AV74" s="11"/>
      <c r="AW74" s="208"/>
      <c r="AX74" s="208"/>
      <c r="AY74" s="208"/>
      <c r="AZ74" s="208"/>
      <c r="BA74" s="208"/>
      <c r="BB74" s="208"/>
      <c r="BC74" s="208"/>
      <c r="BD74" s="208"/>
      <c r="BE74" s="208"/>
      <c r="BF74" s="208"/>
      <c r="BG74" s="208"/>
      <c r="BH74" s="208"/>
      <c r="BI74" s="208"/>
    </row>
    <row r="75" spans="1:102" x14ac:dyDescent="0.3">
      <c r="A75">
        <v>72</v>
      </c>
      <c r="B75" s="14">
        <v>45390</v>
      </c>
      <c r="C75" t="s">
        <v>243</v>
      </c>
      <c r="D75" t="s">
        <v>117</v>
      </c>
      <c r="E75" s="9">
        <v>20000</v>
      </c>
      <c r="F75" s="19">
        <f>E75/60</f>
        <v>333.33333333333331</v>
      </c>
      <c r="G75" s="14">
        <v>47208</v>
      </c>
      <c r="H75" s="11">
        <f t="shared" si="71"/>
        <v>0</v>
      </c>
      <c r="AM75" s="11"/>
      <c r="AN75" s="11"/>
      <c r="AO75" s="11">
        <f t="shared" ref="AO75:CV75" si="76">$F$75</f>
        <v>333.33333333333331</v>
      </c>
      <c r="AP75" s="11">
        <f t="shared" si="76"/>
        <v>333.33333333333331</v>
      </c>
      <c r="AQ75" s="11">
        <f t="shared" si="76"/>
        <v>333.33333333333331</v>
      </c>
      <c r="AR75" s="11">
        <f t="shared" si="76"/>
        <v>333.33333333333331</v>
      </c>
      <c r="AS75" s="11">
        <f t="shared" si="76"/>
        <v>333.33333333333331</v>
      </c>
      <c r="AT75" s="11">
        <f t="shared" si="76"/>
        <v>333.33333333333331</v>
      </c>
      <c r="AU75" s="11">
        <f t="shared" si="76"/>
        <v>333.33333333333331</v>
      </c>
      <c r="AV75" s="11">
        <f t="shared" si="76"/>
        <v>333.33333333333331</v>
      </c>
      <c r="AW75" s="208">
        <f t="shared" si="76"/>
        <v>333.33333333333331</v>
      </c>
      <c r="AX75" s="208">
        <f t="shared" si="76"/>
        <v>333.33333333333331</v>
      </c>
      <c r="AY75" s="208">
        <f t="shared" si="76"/>
        <v>333.33333333333331</v>
      </c>
      <c r="AZ75" s="208">
        <f t="shared" si="76"/>
        <v>333.33333333333331</v>
      </c>
      <c r="BA75" s="208">
        <f t="shared" si="76"/>
        <v>333.33333333333331</v>
      </c>
      <c r="BB75" s="208">
        <f t="shared" si="76"/>
        <v>333.33333333333331</v>
      </c>
      <c r="BC75" s="208">
        <f t="shared" si="76"/>
        <v>333.33333333333331</v>
      </c>
      <c r="BD75" s="208">
        <f t="shared" si="76"/>
        <v>333.33333333333331</v>
      </c>
      <c r="BE75" s="208">
        <f t="shared" si="76"/>
        <v>333.33333333333331</v>
      </c>
      <c r="BF75" s="208">
        <f t="shared" si="76"/>
        <v>333.33333333333331</v>
      </c>
      <c r="BG75" s="208">
        <f t="shared" si="76"/>
        <v>333.33333333333331</v>
      </c>
      <c r="BH75" s="208">
        <f t="shared" si="76"/>
        <v>333.33333333333331</v>
      </c>
      <c r="BI75" s="208">
        <f t="shared" si="76"/>
        <v>333.33333333333331</v>
      </c>
      <c r="BJ75" s="11">
        <f t="shared" si="76"/>
        <v>333.33333333333331</v>
      </c>
      <c r="BK75" s="11">
        <f t="shared" si="76"/>
        <v>333.33333333333331</v>
      </c>
      <c r="BL75" s="11">
        <f t="shared" si="76"/>
        <v>333.33333333333331</v>
      </c>
      <c r="BM75" s="11">
        <f t="shared" si="76"/>
        <v>333.33333333333331</v>
      </c>
      <c r="BN75" s="11">
        <f t="shared" si="76"/>
        <v>333.33333333333331</v>
      </c>
      <c r="BO75" s="11">
        <f t="shared" si="76"/>
        <v>333.33333333333331</v>
      </c>
      <c r="BP75" s="11">
        <f t="shared" si="76"/>
        <v>333.33333333333331</v>
      </c>
      <c r="BQ75" s="11">
        <f t="shared" si="76"/>
        <v>333.33333333333331</v>
      </c>
      <c r="BR75" s="11">
        <f t="shared" si="76"/>
        <v>333.33333333333331</v>
      </c>
      <c r="BS75" s="11">
        <f t="shared" si="76"/>
        <v>333.33333333333331</v>
      </c>
      <c r="BT75" s="11">
        <f t="shared" si="76"/>
        <v>333.33333333333331</v>
      </c>
      <c r="BU75" s="11">
        <f t="shared" si="76"/>
        <v>333.33333333333331</v>
      </c>
      <c r="BV75" s="11">
        <f t="shared" si="76"/>
        <v>333.33333333333331</v>
      </c>
      <c r="BW75" s="11">
        <f t="shared" si="76"/>
        <v>333.33333333333331</v>
      </c>
      <c r="BX75" s="11">
        <f t="shared" si="76"/>
        <v>333.33333333333331</v>
      </c>
      <c r="BY75" s="11">
        <f t="shared" si="76"/>
        <v>333.33333333333331</v>
      </c>
      <c r="BZ75" s="11">
        <f t="shared" si="76"/>
        <v>333.33333333333331</v>
      </c>
      <c r="CA75" s="11">
        <f t="shared" si="76"/>
        <v>333.33333333333331</v>
      </c>
      <c r="CB75" s="11">
        <f t="shared" si="76"/>
        <v>333.33333333333331</v>
      </c>
      <c r="CC75" s="11">
        <f t="shared" si="76"/>
        <v>333.33333333333331</v>
      </c>
      <c r="CD75" s="11">
        <f t="shared" si="76"/>
        <v>333.33333333333331</v>
      </c>
      <c r="CE75" s="11">
        <f t="shared" si="76"/>
        <v>333.33333333333331</v>
      </c>
      <c r="CF75" s="11">
        <f t="shared" si="76"/>
        <v>333.33333333333331</v>
      </c>
      <c r="CG75" s="11">
        <f t="shared" si="76"/>
        <v>333.33333333333331</v>
      </c>
      <c r="CH75" s="11">
        <f t="shared" si="76"/>
        <v>333.33333333333331</v>
      </c>
      <c r="CI75" s="11">
        <f t="shared" si="76"/>
        <v>333.33333333333331</v>
      </c>
      <c r="CJ75" s="11">
        <f t="shared" si="76"/>
        <v>333.33333333333331</v>
      </c>
      <c r="CK75" s="11">
        <f t="shared" si="76"/>
        <v>333.33333333333331</v>
      </c>
      <c r="CL75" s="11">
        <f t="shared" si="76"/>
        <v>333.33333333333331</v>
      </c>
      <c r="CM75" s="11">
        <f t="shared" si="76"/>
        <v>333.33333333333331</v>
      </c>
      <c r="CN75" s="11">
        <f t="shared" si="76"/>
        <v>333.33333333333331</v>
      </c>
      <c r="CO75" s="11">
        <f t="shared" si="76"/>
        <v>333.33333333333331</v>
      </c>
      <c r="CP75" s="11">
        <f t="shared" si="76"/>
        <v>333.33333333333331</v>
      </c>
      <c r="CQ75" s="11">
        <f t="shared" si="76"/>
        <v>333.33333333333331</v>
      </c>
      <c r="CR75" s="11">
        <f t="shared" si="76"/>
        <v>333.33333333333331</v>
      </c>
      <c r="CS75" s="11">
        <f t="shared" si="76"/>
        <v>333.33333333333331</v>
      </c>
      <c r="CT75" s="11">
        <f t="shared" si="76"/>
        <v>333.33333333333331</v>
      </c>
      <c r="CU75" s="11">
        <f t="shared" si="76"/>
        <v>333.33333333333331</v>
      </c>
      <c r="CV75" s="11">
        <f t="shared" si="76"/>
        <v>333.33333333333331</v>
      </c>
    </row>
    <row r="76" spans="1:102" x14ac:dyDescent="0.3">
      <c r="A76">
        <v>73</v>
      </c>
      <c r="B76" s="14">
        <v>45392</v>
      </c>
      <c r="C76" t="s">
        <v>244</v>
      </c>
      <c r="D76" t="s">
        <v>117</v>
      </c>
      <c r="E76" s="9">
        <v>12500</v>
      </c>
      <c r="F76" s="19">
        <f>E76/60</f>
        <v>208.33333333333334</v>
      </c>
      <c r="G76" s="14">
        <v>47208</v>
      </c>
      <c r="H76" s="11">
        <f t="shared" si="71"/>
        <v>0</v>
      </c>
      <c r="AM76" s="11"/>
      <c r="AN76" s="11"/>
      <c r="AO76" s="11">
        <f t="shared" ref="AO76:CV76" si="77">$F$76</f>
        <v>208.33333333333334</v>
      </c>
      <c r="AP76" s="11">
        <f t="shared" si="77"/>
        <v>208.33333333333334</v>
      </c>
      <c r="AQ76" s="11">
        <f t="shared" si="77"/>
        <v>208.33333333333334</v>
      </c>
      <c r="AR76" s="11">
        <f t="shared" si="77"/>
        <v>208.33333333333334</v>
      </c>
      <c r="AS76" s="11">
        <f t="shared" si="77"/>
        <v>208.33333333333334</v>
      </c>
      <c r="AT76" s="11">
        <f t="shared" si="77"/>
        <v>208.33333333333334</v>
      </c>
      <c r="AU76" s="11">
        <f t="shared" si="77"/>
        <v>208.33333333333334</v>
      </c>
      <c r="AV76" s="11">
        <f t="shared" si="77"/>
        <v>208.33333333333334</v>
      </c>
      <c r="AW76" s="208">
        <f t="shared" si="77"/>
        <v>208.33333333333334</v>
      </c>
      <c r="AX76" s="208">
        <f t="shared" si="77"/>
        <v>208.33333333333334</v>
      </c>
      <c r="AY76" s="208">
        <f t="shared" si="77"/>
        <v>208.33333333333334</v>
      </c>
      <c r="AZ76" s="208">
        <f t="shared" si="77"/>
        <v>208.33333333333334</v>
      </c>
      <c r="BA76" s="208">
        <f t="shared" si="77"/>
        <v>208.33333333333334</v>
      </c>
      <c r="BB76" s="208">
        <f t="shared" si="77"/>
        <v>208.33333333333334</v>
      </c>
      <c r="BC76" s="208">
        <f t="shared" si="77"/>
        <v>208.33333333333334</v>
      </c>
      <c r="BD76" s="208">
        <f t="shared" si="77"/>
        <v>208.33333333333334</v>
      </c>
      <c r="BE76" s="208">
        <f t="shared" si="77"/>
        <v>208.33333333333334</v>
      </c>
      <c r="BF76" s="208">
        <f t="shared" si="77"/>
        <v>208.33333333333334</v>
      </c>
      <c r="BG76" s="208">
        <f t="shared" si="77"/>
        <v>208.33333333333334</v>
      </c>
      <c r="BH76" s="208">
        <f t="shared" si="77"/>
        <v>208.33333333333334</v>
      </c>
      <c r="BI76" s="208">
        <f t="shared" si="77"/>
        <v>208.33333333333334</v>
      </c>
      <c r="BJ76" s="11">
        <f t="shared" si="77"/>
        <v>208.33333333333334</v>
      </c>
      <c r="BK76" s="11">
        <f t="shared" si="77"/>
        <v>208.33333333333334</v>
      </c>
      <c r="BL76" s="11">
        <f t="shared" si="77"/>
        <v>208.33333333333334</v>
      </c>
      <c r="BM76" s="11">
        <f t="shared" si="77"/>
        <v>208.33333333333334</v>
      </c>
      <c r="BN76" s="11">
        <f t="shared" si="77"/>
        <v>208.33333333333334</v>
      </c>
      <c r="BO76" s="11">
        <f t="shared" si="77"/>
        <v>208.33333333333334</v>
      </c>
      <c r="BP76" s="11">
        <f t="shared" si="77"/>
        <v>208.33333333333334</v>
      </c>
      <c r="BQ76" s="11">
        <f t="shared" si="77"/>
        <v>208.33333333333334</v>
      </c>
      <c r="BR76" s="11">
        <f t="shared" si="77"/>
        <v>208.33333333333334</v>
      </c>
      <c r="BS76" s="11">
        <f t="shared" si="77"/>
        <v>208.33333333333334</v>
      </c>
      <c r="BT76" s="11">
        <f t="shared" si="77"/>
        <v>208.33333333333334</v>
      </c>
      <c r="BU76" s="11">
        <f t="shared" si="77"/>
        <v>208.33333333333334</v>
      </c>
      <c r="BV76" s="11">
        <f t="shared" si="77"/>
        <v>208.33333333333334</v>
      </c>
      <c r="BW76" s="11">
        <f t="shared" si="77"/>
        <v>208.33333333333334</v>
      </c>
      <c r="BX76" s="11">
        <f t="shared" si="77"/>
        <v>208.33333333333334</v>
      </c>
      <c r="BY76" s="11">
        <f t="shared" si="77"/>
        <v>208.33333333333334</v>
      </c>
      <c r="BZ76" s="11">
        <f t="shared" si="77"/>
        <v>208.33333333333334</v>
      </c>
      <c r="CA76" s="11">
        <f t="shared" si="77"/>
        <v>208.33333333333334</v>
      </c>
      <c r="CB76" s="11">
        <f t="shared" si="77"/>
        <v>208.33333333333334</v>
      </c>
      <c r="CC76" s="11">
        <f t="shared" si="77"/>
        <v>208.33333333333334</v>
      </c>
      <c r="CD76" s="11">
        <f t="shared" si="77"/>
        <v>208.33333333333334</v>
      </c>
      <c r="CE76" s="11">
        <f t="shared" si="77"/>
        <v>208.33333333333334</v>
      </c>
      <c r="CF76" s="11">
        <f t="shared" si="77"/>
        <v>208.33333333333334</v>
      </c>
      <c r="CG76" s="11">
        <f t="shared" si="77"/>
        <v>208.33333333333334</v>
      </c>
      <c r="CH76" s="11">
        <f t="shared" si="77"/>
        <v>208.33333333333334</v>
      </c>
      <c r="CI76" s="11">
        <f t="shared" si="77"/>
        <v>208.33333333333334</v>
      </c>
      <c r="CJ76" s="11">
        <f t="shared" si="77"/>
        <v>208.33333333333334</v>
      </c>
      <c r="CK76" s="11">
        <f t="shared" si="77"/>
        <v>208.33333333333334</v>
      </c>
      <c r="CL76" s="11">
        <f t="shared" si="77"/>
        <v>208.33333333333334</v>
      </c>
      <c r="CM76" s="11">
        <f t="shared" si="77"/>
        <v>208.33333333333334</v>
      </c>
      <c r="CN76" s="11">
        <f t="shared" si="77"/>
        <v>208.33333333333334</v>
      </c>
      <c r="CO76" s="11">
        <f t="shared" si="77"/>
        <v>208.33333333333334</v>
      </c>
      <c r="CP76" s="11">
        <f t="shared" si="77"/>
        <v>208.33333333333334</v>
      </c>
      <c r="CQ76" s="11">
        <f t="shared" si="77"/>
        <v>208.33333333333334</v>
      </c>
      <c r="CR76" s="11">
        <f t="shared" si="77"/>
        <v>208.33333333333334</v>
      </c>
      <c r="CS76" s="11">
        <f t="shared" si="77"/>
        <v>208.33333333333334</v>
      </c>
      <c r="CT76" s="11">
        <f t="shared" si="77"/>
        <v>208.33333333333334</v>
      </c>
      <c r="CU76" s="11">
        <f t="shared" si="77"/>
        <v>208.33333333333334</v>
      </c>
      <c r="CV76" s="11">
        <f t="shared" si="77"/>
        <v>208.33333333333334</v>
      </c>
    </row>
    <row r="77" spans="1:102" x14ac:dyDescent="0.3">
      <c r="A77">
        <v>74</v>
      </c>
      <c r="B77" s="14">
        <v>45397</v>
      </c>
      <c r="C77" t="s">
        <v>222</v>
      </c>
      <c r="D77" t="s">
        <v>197</v>
      </c>
      <c r="E77" s="9">
        <v>16140</v>
      </c>
      <c r="F77" s="19">
        <f>E77/12</f>
        <v>1345</v>
      </c>
      <c r="G77" s="14">
        <v>45747</v>
      </c>
      <c r="H77" s="11">
        <f t="shared" si="71"/>
        <v>0</v>
      </c>
      <c r="AM77" s="11"/>
      <c r="AN77" s="11"/>
      <c r="AO77" s="11">
        <f t="shared" ref="AO77:AZ77" si="78">$F$77</f>
        <v>1345</v>
      </c>
      <c r="AP77" s="11">
        <f t="shared" si="78"/>
        <v>1345</v>
      </c>
      <c r="AQ77" s="11">
        <f t="shared" si="78"/>
        <v>1345</v>
      </c>
      <c r="AR77" s="11">
        <f t="shared" si="78"/>
        <v>1345</v>
      </c>
      <c r="AS77" s="11">
        <f t="shared" si="78"/>
        <v>1345</v>
      </c>
      <c r="AT77" s="11">
        <f t="shared" si="78"/>
        <v>1345</v>
      </c>
      <c r="AU77" s="11">
        <f t="shared" si="78"/>
        <v>1345</v>
      </c>
      <c r="AV77" s="11">
        <f t="shared" si="78"/>
        <v>1345</v>
      </c>
      <c r="AW77" s="208">
        <f t="shared" si="78"/>
        <v>1345</v>
      </c>
      <c r="AX77" s="208">
        <f t="shared" si="78"/>
        <v>1345</v>
      </c>
      <c r="AY77" s="208">
        <f t="shared" si="78"/>
        <v>1345</v>
      </c>
      <c r="AZ77" s="208">
        <f t="shared" si="78"/>
        <v>1345</v>
      </c>
      <c r="BA77" s="208"/>
      <c r="BB77" s="208"/>
      <c r="BC77" s="208"/>
      <c r="BD77" s="208"/>
      <c r="BE77" s="208"/>
      <c r="BF77" s="208"/>
      <c r="BG77" s="208"/>
      <c r="BH77" s="208"/>
      <c r="BI77" s="208"/>
    </row>
    <row r="78" spans="1:102" x14ac:dyDescent="0.3">
      <c r="A78">
        <v>75</v>
      </c>
      <c r="B78" s="14">
        <v>45407</v>
      </c>
      <c r="C78" t="s">
        <v>226</v>
      </c>
      <c r="D78" t="s">
        <v>197</v>
      </c>
      <c r="E78" s="9">
        <v>9185</v>
      </c>
      <c r="F78" s="19">
        <f>E78/12</f>
        <v>765.41666666666663</v>
      </c>
      <c r="G78" s="14">
        <v>45747</v>
      </c>
      <c r="H78" s="11">
        <f t="shared" si="71"/>
        <v>0</v>
      </c>
      <c r="AM78" s="11"/>
      <c r="AN78" s="11"/>
      <c r="AO78" s="11">
        <f t="shared" ref="AO78:AZ78" si="79">$F$78</f>
        <v>765.41666666666663</v>
      </c>
      <c r="AP78" s="11">
        <f t="shared" si="79"/>
        <v>765.41666666666663</v>
      </c>
      <c r="AQ78" s="11">
        <f t="shared" si="79"/>
        <v>765.41666666666663</v>
      </c>
      <c r="AR78" s="11">
        <f t="shared" si="79"/>
        <v>765.41666666666663</v>
      </c>
      <c r="AS78" s="11">
        <f t="shared" si="79"/>
        <v>765.41666666666663</v>
      </c>
      <c r="AT78" s="11">
        <f t="shared" si="79"/>
        <v>765.41666666666663</v>
      </c>
      <c r="AU78" s="11">
        <f t="shared" si="79"/>
        <v>765.41666666666663</v>
      </c>
      <c r="AV78" s="11">
        <f t="shared" si="79"/>
        <v>765.41666666666663</v>
      </c>
      <c r="AW78" s="208">
        <f t="shared" si="79"/>
        <v>765.41666666666663</v>
      </c>
      <c r="AX78" s="208">
        <f t="shared" si="79"/>
        <v>765.41666666666663</v>
      </c>
      <c r="AY78" s="208">
        <f t="shared" si="79"/>
        <v>765.41666666666663</v>
      </c>
      <c r="AZ78" s="208">
        <f t="shared" si="79"/>
        <v>765.41666666666663</v>
      </c>
      <c r="BA78" s="208"/>
      <c r="BB78" s="208"/>
      <c r="BC78" s="208"/>
      <c r="BD78" s="208"/>
      <c r="BE78" s="208"/>
      <c r="BF78" s="208"/>
      <c r="BG78" s="208"/>
      <c r="BH78" s="208"/>
      <c r="BI78" s="208"/>
    </row>
    <row r="79" spans="1:102" x14ac:dyDescent="0.3">
      <c r="A79">
        <v>76</v>
      </c>
      <c r="B79" s="14">
        <v>45412</v>
      </c>
      <c r="C79" t="s">
        <v>245</v>
      </c>
      <c r="D79" t="s">
        <v>117</v>
      </c>
      <c r="E79" s="9">
        <v>8000</v>
      </c>
      <c r="F79" s="19">
        <f>E79/60</f>
        <v>133.33333333333334</v>
      </c>
      <c r="G79" s="14">
        <v>47268</v>
      </c>
      <c r="H79" s="11">
        <f t="shared" si="71"/>
        <v>7.2759576141834259E-12</v>
      </c>
      <c r="AM79" s="11"/>
      <c r="AN79" s="11"/>
      <c r="AO79" s="11"/>
      <c r="AP79" s="11"/>
      <c r="AQ79" s="11">
        <f t="shared" ref="AQ79:CX79" si="80">$F$79</f>
        <v>133.33333333333334</v>
      </c>
      <c r="AR79" s="11">
        <f t="shared" si="80"/>
        <v>133.33333333333334</v>
      </c>
      <c r="AS79" s="11">
        <f t="shared" si="80"/>
        <v>133.33333333333334</v>
      </c>
      <c r="AT79" s="11">
        <f t="shared" si="80"/>
        <v>133.33333333333334</v>
      </c>
      <c r="AU79" s="11">
        <f t="shared" si="80"/>
        <v>133.33333333333334</v>
      </c>
      <c r="AV79" s="11">
        <f t="shared" si="80"/>
        <v>133.33333333333334</v>
      </c>
      <c r="AW79" s="208">
        <f t="shared" si="80"/>
        <v>133.33333333333334</v>
      </c>
      <c r="AX79" s="208">
        <f t="shared" si="80"/>
        <v>133.33333333333334</v>
      </c>
      <c r="AY79" s="208">
        <f t="shared" si="80"/>
        <v>133.33333333333334</v>
      </c>
      <c r="AZ79" s="208">
        <f t="shared" si="80"/>
        <v>133.33333333333334</v>
      </c>
      <c r="BA79" s="208">
        <f t="shared" si="80"/>
        <v>133.33333333333334</v>
      </c>
      <c r="BB79" s="208">
        <f t="shared" si="80"/>
        <v>133.33333333333334</v>
      </c>
      <c r="BC79" s="208">
        <f t="shared" si="80"/>
        <v>133.33333333333334</v>
      </c>
      <c r="BD79" s="208">
        <f t="shared" si="80"/>
        <v>133.33333333333334</v>
      </c>
      <c r="BE79" s="208">
        <f t="shared" si="80"/>
        <v>133.33333333333334</v>
      </c>
      <c r="BF79" s="208">
        <f t="shared" si="80"/>
        <v>133.33333333333334</v>
      </c>
      <c r="BG79" s="208">
        <f t="shared" si="80"/>
        <v>133.33333333333334</v>
      </c>
      <c r="BH79" s="208">
        <f t="shared" si="80"/>
        <v>133.33333333333334</v>
      </c>
      <c r="BI79" s="208">
        <f t="shared" si="80"/>
        <v>133.33333333333334</v>
      </c>
      <c r="BJ79" s="11">
        <f t="shared" si="80"/>
        <v>133.33333333333334</v>
      </c>
      <c r="BK79" s="11">
        <f t="shared" si="80"/>
        <v>133.33333333333334</v>
      </c>
      <c r="BL79" s="11">
        <f t="shared" si="80"/>
        <v>133.33333333333334</v>
      </c>
      <c r="BM79" s="11">
        <f t="shared" si="80"/>
        <v>133.33333333333334</v>
      </c>
      <c r="BN79" s="11">
        <f t="shared" si="80"/>
        <v>133.33333333333334</v>
      </c>
      <c r="BO79" s="11">
        <f t="shared" si="80"/>
        <v>133.33333333333334</v>
      </c>
      <c r="BP79" s="11">
        <f t="shared" si="80"/>
        <v>133.33333333333334</v>
      </c>
      <c r="BQ79" s="11">
        <f t="shared" si="80"/>
        <v>133.33333333333334</v>
      </c>
      <c r="BR79" s="11">
        <f t="shared" si="80"/>
        <v>133.33333333333334</v>
      </c>
      <c r="BS79" s="11">
        <f t="shared" si="80"/>
        <v>133.33333333333334</v>
      </c>
      <c r="BT79" s="11">
        <f t="shared" si="80"/>
        <v>133.33333333333334</v>
      </c>
      <c r="BU79" s="11">
        <f t="shared" si="80"/>
        <v>133.33333333333334</v>
      </c>
      <c r="BV79" s="11">
        <f t="shared" si="80"/>
        <v>133.33333333333334</v>
      </c>
      <c r="BW79" s="11">
        <f t="shared" si="80"/>
        <v>133.33333333333334</v>
      </c>
      <c r="BX79" s="11">
        <f t="shared" si="80"/>
        <v>133.33333333333334</v>
      </c>
      <c r="BY79" s="11">
        <f t="shared" si="80"/>
        <v>133.33333333333334</v>
      </c>
      <c r="BZ79" s="11">
        <f t="shared" si="80"/>
        <v>133.33333333333334</v>
      </c>
      <c r="CA79" s="11">
        <f t="shared" si="80"/>
        <v>133.33333333333334</v>
      </c>
      <c r="CB79" s="11">
        <f t="shared" si="80"/>
        <v>133.33333333333334</v>
      </c>
      <c r="CC79" s="11">
        <f t="shared" si="80"/>
        <v>133.33333333333334</v>
      </c>
      <c r="CD79" s="11">
        <f t="shared" si="80"/>
        <v>133.33333333333334</v>
      </c>
      <c r="CE79" s="11">
        <f t="shared" si="80"/>
        <v>133.33333333333334</v>
      </c>
      <c r="CF79" s="11">
        <f t="shared" si="80"/>
        <v>133.33333333333334</v>
      </c>
      <c r="CG79" s="11">
        <f t="shared" si="80"/>
        <v>133.33333333333334</v>
      </c>
      <c r="CH79" s="11">
        <f t="shared" si="80"/>
        <v>133.33333333333334</v>
      </c>
      <c r="CI79" s="11">
        <f t="shared" si="80"/>
        <v>133.33333333333334</v>
      </c>
      <c r="CJ79" s="11">
        <f t="shared" si="80"/>
        <v>133.33333333333334</v>
      </c>
      <c r="CK79" s="11">
        <f t="shared" si="80"/>
        <v>133.33333333333334</v>
      </c>
      <c r="CL79" s="11">
        <f t="shared" si="80"/>
        <v>133.33333333333334</v>
      </c>
      <c r="CM79" s="11">
        <f t="shared" si="80"/>
        <v>133.33333333333334</v>
      </c>
      <c r="CN79" s="11">
        <f t="shared" si="80"/>
        <v>133.33333333333334</v>
      </c>
      <c r="CO79" s="11">
        <f t="shared" si="80"/>
        <v>133.33333333333334</v>
      </c>
      <c r="CP79" s="11">
        <f t="shared" si="80"/>
        <v>133.33333333333334</v>
      </c>
      <c r="CQ79" s="11">
        <f t="shared" si="80"/>
        <v>133.33333333333334</v>
      </c>
      <c r="CR79" s="11">
        <f t="shared" si="80"/>
        <v>133.33333333333334</v>
      </c>
      <c r="CS79" s="11">
        <f t="shared" si="80"/>
        <v>133.33333333333334</v>
      </c>
      <c r="CT79" s="11">
        <f t="shared" si="80"/>
        <v>133.33333333333334</v>
      </c>
      <c r="CU79" s="11">
        <f t="shared" si="80"/>
        <v>133.33333333333334</v>
      </c>
      <c r="CV79" s="11">
        <f t="shared" si="80"/>
        <v>133.33333333333334</v>
      </c>
      <c r="CW79" s="11">
        <f t="shared" si="80"/>
        <v>133.33333333333334</v>
      </c>
      <c r="CX79" s="11">
        <f t="shared" si="80"/>
        <v>133.33333333333334</v>
      </c>
    </row>
    <row r="80" spans="1:102" x14ac:dyDescent="0.3">
      <c r="A80">
        <v>77</v>
      </c>
      <c r="B80" s="14">
        <v>45427</v>
      </c>
      <c r="C80" t="s">
        <v>227</v>
      </c>
      <c r="D80" t="s">
        <v>117</v>
      </c>
      <c r="E80" s="9">
        <v>12250</v>
      </c>
      <c r="F80" s="19">
        <f>E80/30</f>
        <v>408.33333333333331</v>
      </c>
      <c r="G80" s="14">
        <v>46873</v>
      </c>
      <c r="H80" s="11">
        <f t="shared" si="71"/>
        <v>0</v>
      </c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208"/>
      <c r="AX80" s="208"/>
      <c r="AY80" s="208"/>
      <c r="AZ80" s="208"/>
      <c r="BA80" s="208"/>
      <c r="BB80" s="208"/>
      <c r="BC80" s="208"/>
      <c r="BD80" s="208"/>
      <c r="BE80" s="208"/>
      <c r="BF80" s="208"/>
      <c r="BG80" s="208"/>
      <c r="BH80" s="208">
        <f t="shared" ref="BH80:CK80" si="81">$F$80</f>
        <v>408.33333333333331</v>
      </c>
      <c r="BI80" s="208">
        <f t="shared" si="81"/>
        <v>408.33333333333331</v>
      </c>
      <c r="BJ80" s="11">
        <f t="shared" si="81"/>
        <v>408.33333333333331</v>
      </c>
      <c r="BK80" s="11">
        <f t="shared" si="81"/>
        <v>408.33333333333331</v>
      </c>
      <c r="BL80" s="11">
        <f t="shared" si="81"/>
        <v>408.33333333333331</v>
      </c>
      <c r="BM80" s="11">
        <f t="shared" si="81"/>
        <v>408.33333333333331</v>
      </c>
      <c r="BN80" s="11">
        <f t="shared" si="81"/>
        <v>408.33333333333331</v>
      </c>
      <c r="BO80" s="11">
        <f t="shared" si="81"/>
        <v>408.33333333333331</v>
      </c>
      <c r="BP80" s="11">
        <f t="shared" si="81"/>
        <v>408.33333333333331</v>
      </c>
      <c r="BQ80" s="11">
        <f t="shared" si="81"/>
        <v>408.33333333333331</v>
      </c>
      <c r="BR80" s="11">
        <f t="shared" si="81"/>
        <v>408.33333333333331</v>
      </c>
      <c r="BS80" s="11">
        <f t="shared" si="81"/>
        <v>408.33333333333331</v>
      </c>
      <c r="BT80" s="11">
        <f t="shared" si="81"/>
        <v>408.33333333333331</v>
      </c>
      <c r="BU80" s="11">
        <f t="shared" si="81"/>
        <v>408.33333333333331</v>
      </c>
      <c r="BV80" s="11">
        <f t="shared" si="81"/>
        <v>408.33333333333331</v>
      </c>
      <c r="BW80" s="11">
        <f t="shared" si="81"/>
        <v>408.33333333333331</v>
      </c>
      <c r="BX80" s="11">
        <f t="shared" si="81"/>
        <v>408.33333333333331</v>
      </c>
      <c r="BY80" s="11">
        <f t="shared" si="81"/>
        <v>408.33333333333331</v>
      </c>
      <c r="BZ80" s="11">
        <f t="shared" si="81"/>
        <v>408.33333333333331</v>
      </c>
      <c r="CA80" s="11">
        <f t="shared" si="81"/>
        <v>408.33333333333331</v>
      </c>
      <c r="CB80" s="11">
        <f t="shared" si="81"/>
        <v>408.33333333333331</v>
      </c>
      <c r="CC80" s="11">
        <f t="shared" si="81"/>
        <v>408.33333333333331</v>
      </c>
      <c r="CD80" s="11">
        <f t="shared" si="81"/>
        <v>408.33333333333331</v>
      </c>
      <c r="CE80" s="11">
        <f t="shared" si="81"/>
        <v>408.33333333333331</v>
      </c>
      <c r="CF80" s="11">
        <f t="shared" si="81"/>
        <v>408.33333333333331</v>
      </c>
      <c r="CG80" s="11">
        <f t="shared" si="81"/>
        <v>408.33333333333331</v>
      </c>
      <c r="CH80" s="11">
        <f t="shared" si="81"/>
        <v>408.33333333333331</v>
      </c>
      <c r="CI80" s="11">
        <f t="shared" si="81"/>
        <v>408.33333333333331</v>
      </c>
      <c r="CJ80" s="11">
        <f t="shared" si="81"/>
        <v>408.33333333333331</v>
      </c>
      <c r="CK80" s="11">
        <f t="shared" si="81"/>
        <v>408.33333333333331</v>
      </c>
      <c r="CL80" s="11"/>
      <c r="CM80" s="11"/>
      <c r="CN80" s="11"/>
      <c r="CO80" s="11"/>
      <c r="CP80" s="11"/>
      <c r="CQ80" s="11"/>
      <c r="CR80" s="11"/>
    </row>
    <row r="81" spans="1:108" x14ac:dyDescent="0.3">
      <c r="A81">
        <v>78</v>
      </c>
      <c r="B81" s="14">
        <v>45431</v>
      </c>
      <c r="C81" t="s">
        <v>246</v>
      </c>
      <c r="D81" t="s">
        <v>117</v>
      </c>
      <c r="E81" s="9">
        <v>11000</v>
      </c>
      <c r="F81" s="19">
        <f>E81/60</f>
        <v>183.33333333333334</v>
      </c>
      <c r="G81" s="14">
        <v>47238</v>
      </c>
      <c r="H81" s="11">
        <f t="shared" si="71"/>
        <v>0</v>
      </c>
      <c r="AM81" s="11"/>
      <c r="AN81" s="11"/>
      <c r="AO81" s="11"/>
      <c r="AP81" s="11">
        <f t="shared" ref="AP81:CW81" si="82">$F$81</f>
        <v>183.33333333333334</v>
      </c>
      <c r="AQ81" s="11">
        <f t="shared" si="82"/>
        <v>183.33333333333334</v>
      </c>
      <c r="AR81" s="11">
        <f t="shared" si="82"/>
        <v>183.33333333333334</v>
      </c>
      <c r="AS81" s="11">
        <f t="shared" si="82"/>
        <v>183.33333333333334</v>
      </c>
      <c r="AT81" s="11">
        <f t="shared" si="82"/>
        <v>183.33333333333334</v>
      </c>
      <c r="AU81" s="11">
        <f t="shared" si="82"/>
        <v>183.33333333333334</v>
      </c>
      <c r="AV81" s="11">
        <f t="shared" si="82"/>
        <v>183.33333333333334</v>
      </c>
      <c r="AW81" s="208">
        <f t="shared" si="82"/>
        <v>183.33333333333334</v>
      </c>
      <c r="AX81" s="208">
        <f t="shared" si="82"/>
        <v>183.33333333333334</v>
      </c>
      <c r="AY81" s="208">
        <f t="shared" si="82"/>
        <v>183.33333333333334</v>
      </c>
      <c r="AZ81" s="208">
        <f t="shared" si="82"/>
        <v>183.33333333333334</v>
      </c>
      <c r="BA81" s="208">
        <f t="shared" si="82"/>
        <v>183.33333333333334</v>
      </c>
      <c r="BB81" s="208">
        <f t="shared" si="82"/>
        <v>183.33333333333334</v>
      </c>
      <c r="BC81" s="208">
        <f t="shared" si="82"/>
        <v>183.33333333333334</v>
      </c>
      <c r="BD81" s="208">
        <f t="shared" si="82"/>
        <v>183.33333333333334</v>
      </c>
      <c r="BE81" s="208">
        <f t="shared" si="82"/>
        <v>183.33333333333334</v>
      </c>
      <c r="BF81" s="208">
        <f t="shared" si="82"/>
        <v>183.33333333333334</v>
      </c>
      <c r="BG81" s="208">
        <f t="shared" si="82"/>
        <v>183.33333333333334</v>
      </c>
      <c r="BH81" s="208">
        <f t="shared" si="82"/>
        <v>183.33333333333334</v>
      </c>
      <c r="BI81" s="208">
        <f t="shared" si="82"/>
        <v>183.33333333333334</v>
      </c>
      <c r="BJ81" s="11">
        <f t="shared" si="82"/>
        <v>183.33333333333334</v>
      </c>
      <c r="BK81" s="11">
        <f t="shared" si="82"/>
        <v>183.33333333333334</v>
      </c>
      <c r="BL81" s="11">
        <f t="shared" si="82"/>
        <v>183.33333333333334</v>
      </c>
      <c r="BM81" s="11">
        <f t="shared" si="82"/>
        <v>183.33333333333334</v>
      </c>
      <c r="BN81" s="11">
        <f t="shared" si="82"/>
        <v>183.33333333333334</v>
      </c>
      <c r="BO81" s="11">
        <f t="shared" si="82"/>
        <v>183.33333333333334</v>
      </c>
      <c r="BP81" s="11">
        <f t="shared" si="82"/>
        <v>183.33333333333334</v>
      </c>
      <c r="BQ81" s="11">
        <f t="shared" si="82"/>
        <v>183.33333333333334</v>
      </c>
      <c r="BR81" s="11">
        <f t="shared" si="82"/>
        <v>183.33333333333334</v>
      </c>
      <c r="BS81" s="11">
        <f t="shared" si="82"/>
        <v>183.33333333333334</v>
      </c>
      <c r="BT81" s="11">
        <f t="shared" si="82"/>
        <v>183.33333333333334</v>
      </c>
      <c r="BU81" s="11">
        <f t="shared" si="82"/>
        <v>183.33333333333334</v>
      </c>
      <c r="BV81" s="11">
        <f t="shared" si="82"/>
        <v>183.33333333333334</v>
      </c>
      <c r="BW81" s="11">
        <f t="shared" si="82"/>
        <v>183.33333333333334</v>
      </c>
      <c r="BX81" s="11">
        <f t="shared" si="82"/>
        <v>183.33333333333334</v>
      </c>
      <c r="BY81" s="11">
        <f t="shared" si="82"/>
        <v>183.33333333333334</v>
      </c>
      <c r="BZ81" s="11">
        <f t="shared" si="82"/>
        <v>183.33333333333334</v>
      </c>
      <c r="CA81" s="11">
        <f t="shared" si="82"/>
        <v>183.33333333333334</v>
      </c>
      <c r="CB81" s="11">
        <f t="shared" si="82"/>
        <v>183.33333333333334</v>
      </c>
      <c r="CC81" s="11">
        <f t="shared" si="82"/>
        <v>183.33333333333334</v>
      </c>
      <c r="CD81" s="11">
        <f t="shared" si="82"/>
        <v>183.33333333333334</v>
      </c>
      <c r="CE81" s="11">
        <f t="shared" si="82"/>
        <v>183.33333333333334</v>
      </c>
      <c r="CF81" s="11">
        <f t="shared" si="82"/>
        <v>183.33333333333334</v>
      </c>
      <c r="CG81" s="11">
        <f t="shared" si="82"/>
        <v>183.33333333333334</v>
      </c>
      <c r="CH81" s="11">
        <f t="shared" si="82"/>
        <v>183.33333333333334</v>
      </c>
      <c r="CI81" s="11">
        <f t="shared" si="82"/>
        <v>183.33333333333334</v>
      </c>
      <c r="CJ81" s="11">
        <f t="shared" si="82"/>
        <v>183.33333333333334</v>
      </c>
      <c r="CK81" s="11">
        <f t="shared" si="82"/>
        <v>183.33333333333334</v>
      </c>
      <c r="CL81" s="11">
        <f t="shared" si="82"/>
        <v>183.33333333333334</v>
      </c>
      <c r="CM81" s="11">
        <f t="shared" si="82"/>
        <v>183.33333333333334</v>
      </c>
      <c r="CN81" s="11">
        <f t="shared" si="82"/>
        <v>183.33333333333334</v>
      </c>
      <c r="CO81" s="11">
        <f t="shared" si="82"/>
        <v>183.33333333333334</v>
      </c>
      <c r="CP81" s="11">
        <f t="shared" si="82"/>
        <v>183.33333333333334</v>
      </c>
      <c r="CQ81" s="11">
        <f t="shared" si="82"/>
        <v>183.33333333333334</v>
      </c>
      <c r="CR81" s="11">
        <f t="shared" si="82"/>
        <v>183.33333333333334</v>
      </c>
      <c r="CS81" s="11">
        <f t="shared" si="82"/>
        <v>183.33333333333334</v>
      </c>
      <c r="CT81" s="11">
        <f t="shared" si="82"/>
        <v>183.33333333333334</v>
      </c>
      <c r="CU81" s="11">
        <f t="shared" si="82"/>
        <v>183.33333333333334</v>
      </c>
      <c r="CV81" s="11">
        <f t="shared" si="82"/>
        <v>183.33333333333334</v>
      </c>
      <c r="CW81" s="11">
        <f t="shared" si="82"/>
        <v>183.33333333333334</v>
      </c>
      <c r="CX81" s="11"/>
    </row>
    <row r="82" spans="1:108" x14ac:dyDescent="0.3">
      <c r="A82">
        <v>79</v>
      </c>
      <c r="B82" s="14">
        <v>45415</v>
      </c>
      <c r="C82" t="s">
        <v>247</v>
      </c>
      <c r="D82" t="s">
        <v>197</v>
      </c>
      <c r="E82" s="9">
        <v>9350</v>
      </c>
      <c r="F82" s="19">
        <f>E82/12</f>
        <v>779.16666666666663</v>
      </c>
      <c r="G82" s="14">
        <v>45777</v>
      </c>
      <c r="H82" s="11">
        <f t="shared" si="71"/>
        <v>0</v>
      </c>
      <c r="AM82" s="11"/>
      <c r="AN82" s="11"/>
      <c r="AO82" s="11"/>
      <c r="AP82" s="11">
        <f t="shared" ref="AP82:BA82" si="83">$F$82</f>
        <v>779.16666666666663</v>
      </c>
      <c r="AQ82" s="11">
        <f t="shared" si="83"/>
        <v>779.16666666666663</v>
      </c>
      <c r="AR82" s="11">
        <f t="shared" si="83"/>
        <v>779.16666666666663</v>
      </c>
      <c r="AS82" s="11">
        <f t="shared" si="83"/>
        <v>779.16666666666663</v>
      </c>
      <c r="AT82" s="11">
        <f t="shared" si="83"/>
        <v>779.16666666666663</v>
      </c>
      <c r="AU82" s="11">
        <f t="shared" si="83"/>
        <v>779.16666666666663</v>
      </c>
      <c r="AV82" s="11">
        <f t="shared" si="83"/>
        <v>779.16666666666663</v>
      </c>
      <c r="AW82" s="208">
        <f t="shared" si="83"/>
        <v>779.16666666666663</v>
      </c>
      <c r="AX82" s="208">
        <f t="shared" si="83"/>
        <v>779.16666666666663</v>
      </c>
      <c r="AY82" s="208">
        <f t="shared" si="83"/>
        <v>779.16666666666663</v>
      </c>
      <c r="AZ82" s="208">
        <f t="shared" si="83"/>
        <v>779.16666666666663</v>
      </c>
      <c r="BA82" s="208">
        <f t="shared" si="83"/>
        <v>779.16666666666663</v>
      </c>
      <c r="BB82" s="208"/>
      <c r="BC82" s="208"/>
      <c r="BD82" s="208"/>
      <c r="BE82" s="208"/>
      <c r="BF82" s="208"/>
      <c r="BG82" s="208"/>
      <c r="BH82" s="208"/>
      <c r="BI82" s="208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</row>
    <row r="83" spans="1:108" x14ac:dyDescent="0.3">
      <c r="A83">
        <v>80</v>
      </c>
      <c r="B83" s="14">
        <v>45440</v>
      </c>
      <c r="C83" t="s">
        <v>248</v>
      </c>
      <c r="D83" t="s">
        <v>117</v>
      </c>
      <c r="E83" s="9">
        <v>12250</v>
      </c>
      <c r="F83" s="19">
        <f>E83/60</f>
        <v>204.16666666666666</v>
      </c>
      <c r="G83" s="14">
        <v>47238</v>
      </c>
      <c r="H83" s="11">
        <f t="shared" si="71"/>
        <v>0</v>
      </c>
      <c r="AM83" s="11"/>
      <c r="AN83" s="11"/>
      <c r="AO83" s="11"/>
      <c r="AP83" s="11">
        <f t="shared" ref="AP83:CW83" si="84">$F$83</f>
        <v>204.16666666666666</v>
      </c>
      <c r="AQ83" s="11">
        <f t="shared" si="84"/>
        <v>204.16666666666666</v>
      </c>
      <c r="AR83" s="11">
        <f t="shared" si="84"/>
        <v>204.16666666666666</v>
      </c>
      <c r="AS83" s="11">
        <f t="shared" si="84"/>
        <v>204.16666666666666</v>
      </c>
      <c r="AT83" s="11">
        <f t="shared" si="84"/>
        <v>204.16666666666666</v>
      </c>
      <c r="AU83" s="11">
        <f t="shared" si="84"/>
        <v>204.16666666666666</v>
      </c>
      <c r="AV83" s="11">
        <f t="shared" si="84"/>
        <v>204.16666666666666</v>
      </c>
      <c r="AW83" s="208">
        <f t="shared" si="84"/>
        <v>204.16666666666666</v>
      </c>
      <c r="AX83" s="208">
        <f t="shared" si="84"/>
        <v>204.16666666666666</v>
      </c>
      <c r="AY83" s="208">
        <f t="shared" si="84"/>
        <v>204.16666666666666</v>
      </c>
      <c r="AZ83" s="208">
        <f t="shared" si="84"/>
        <v>204.16666666666666</v>
      </c>
      <c r="BA83" s="208">
        <f t="shared" si="84"/>
        <v>204.16666666666666</v>
      </c>
      <c r="BB83" s="208">
        <f t="shared" si="84"/>
        <v>204.16666666666666</v>
      </c>
      <c r="BC83" s="208">
        <f t="shared" si="84"/>
        <v>204.16666666666666</v>
      </c>
      <c r="BD83" s="208">
        <f t="shared" si="84"/>
        <v>204.16666666666666</v>
      </c>
      <c r="BE83" s="208">
        <f t="shared" si="84"/>
        <v>204.16666666666666</v>
      </c>
      <c r="BF83" s="208">
        <f t="shared" si="84"/>
        <v>204.16666666666666</v>
      </c>
      <c r="BG83" s="208">
        <f t="shared" si="84"/>
        <v>204.16666666666666</v>
      </c>
      <c r="BH83" s="208">
        <f t="shared" si="84"/>
        <v>204.16666666666666</v>
      </c>
      <c r="BI83" s="208">
        <f t="shared" si="84"/>
        <v>204.16666666666666</v>
      </c>
      <c r="BJ83" s="11">
        <f t="shared" si="84"/>
        <v>204.16666666666666</v>
      </c>
      <c r="BK83" s="11">
        <f t="shared" si="84"/>
        <v>204.16666666666666</v>
      </c>
      <c r="BL83" s="11">
        <f t="shared" si="84"/>
        <v>204.16666666666666</v>
      </c>
      <c r="BM83" s="11">
        <f t="shared" si="84"/>
        <v>204.16666666666666</v>
      </c>
      <c r="BN83" s="11">
        <f t="shared" si="84"/>
        <v>204.16666666666666</v>
      </c>
      <c r="BO83" s="11">
        <f t="shared" si="84"/>
        <v>204.16666666666666</v>
      </c>
      <c r="BP83" s="11">
        <f t="shared" si="84"/>
        <v>204.16666666666666</v>
      </c>
      <c r="BQ83" s="11">
        <f t="shared" si="84"/>
        <v>204.16666666666666</v>
      </c>
      <c r="BR83" s="11">
        <f t="shared" si="84"/>
        <v>204.16666666666666</v>
      </c>
      <c r="BS83" s="11">
        <f t="shared" si="84"/>
        <v>204.16666666666666</v>
      </c>
      <c r="BT83" s="11">
        <f t="shared" si="84"/>
        <v>204.16666666666666</v>
      </c>
      <c r="BU83" s="11">
        <f t="shared" si="84"/>
        <v>204.16666666666666</v>
      </c>
      <c r="BV83" s="11">
        <f t="shared" si="84"/>
        <v>204.16666666666666</v>
      </c>
      <c r="BW83" s="11">
        <f t="shared" si="84"/>
        <v>204.16666666666666</v>
      </c>
      <c r="BX83" s="11">
        <f t="shared" si="84"/>
        <v>204.16666666666666</v>
      </c>
      <c r="BY83" s="11">
        <f t="shared" si="84"/>
        <v>204.16666666666666</v>
      </c>
      <c r="BZ83" s="11">
        <f t="shared" si="84"/>
        <v>204.16666666666666</v>
      </c>
      <c r="CA83" s="11">
        <f t="shared" si="84"/>
        <v>204.16666666666666</v>
      </c>
      <c r="CB83" s="11">
        <f t="shared" si="84"/>
        <v>204.16666666666666</v>
      </c>
      <c r="CC83" s="11">
        <f t="shared" si="84"/>
        <v>204.16666666666666</v>
      </c>
      <c r="CD83" s="11">
        <f t="shared" si="84"/>
        <v>204.16666666666666</v>
      </c>
      <c r="CE83" s="11">
        <f t="shared" si="84"/>
        <v>204.16666666666666</v>
      </c>
      <c r="CF83" s="11">
        <f t="shared" si="84"/>
        <v>204.16666666666666</v>
      </c>
      <c r="CG83" s="11">
        <f t="shared" si="84"/>
        <v>204.16666666666666</v>
      </c>
      <c r="CH83" s="11">
        <f t="shared" si="84"/>
        <v>204.16666666666666</v>
      </c>
      <c r="CI83" s="11">
        <f t="shared" si="84"/>
        <v>204.16666666666666</v>
      </c>
      <c r="CJ83" s="11">
        <f t="shared" si="84"/>
        <v>204.16666666666666</v>
      </c>
      <c r="CK83" s="11">
        <f t="shared" si="84"/>
        <v>204.16666666666666</v>
      </c>
      <c r="CL83" s="11">
        <f t="shared" si="84"/>
        <v>204.16666666666666</v>
      </c>
      <c r="CM83" s="11">
        <f t="shared" si="84"/>
        <v>204.16666666666666</v>
      </c>
      <c r="CN83" s="11">
        <f t="shared" si="84"/>
        <v>204.16666666666666</v>
      </c>
      <c r="CO83" s="11">
        <f t="shared" si="84"/>
        <v>204.16666666666666</v>
      </c>
      <c r="CP83" s="11">
        <f t="shared" si="84"/>
        <v>204.16666666666666</v>
      </c>
      <c r="CQ83" s="11">
        <f t="shared" si="84"/>
        <v>204.16666666666666</v>
      </c>
      <c r="CR83" s="11">
        <f t="shared" si="84"/>
        <v>204.16666666666666</v>
      </c>
      <c r="CS83" s="11">
        <f t="shared" si="84"/>
        <v>204.16666666666666</v>
      </c>
      <c r="CT83" s="11">
        <f t="shared" si="84"/>
        <v>204.16666666666666</v>
      </c>
      <c r="CU83" s="11">
        <f t="shared" si="84"/>
        <v>204.16666666666666</v>
      </c>
      <c r="CV83" s="11">
        <f t="shared" si="84"/>
        <v>204.16666666666666</v>
      </c>
      <c r="CW83" s="11">
        <f t="shared" si="84"/>
        <v>204.16666666666666</v>
      </c>
    </row>
    <row r="84" spans="1:108" x14ac:dyDescent="0.3">
      <c r="A84">
        <v>81</v>
      </c>
      <c r="B84" s="14">
        <v>45443</v>
      </c>
      <c r="C84" t="s">
        <v>249</v>
      </c>
      <c r="D84" t="s">
        <v>117</v>
      </c>
      <c r="E84" s="9">
        <v>26000</v>
      </c>
      <c r="F84" s="19">
        <f>E84/60</f>
        <v>433.33333333333331</v>
      </c>
      <c r="G84" s="14">
        <v>47238</v>
      </c>
      <c r="H84" s="11">
        <f t="shared" si="71"/>
        <v>0</v>
      </c>
      <c r="AM84" s="11"/>
      <c r="AN84" s="11"/>
      <c r="AO84" s="11"/>
      <c r="AP84" s="11">
        <f t="shared" ref="AP84:CW84" si="85">$F$84</f>
        <v>433.33333333333331</v>
      </c>
      <c r="AQ84" s="11">
        <f t="shared" si="85"/>
        <v>433.33333333333331</v>
      </c>
      <c r="AR84" s="11">
        <f t="shared" si="85"/>
        <v>433.33333333333331</v>
      </c>
      <c r="AS84" s="11">
        <f t="shared" si="85"/>
        <v>433.33333333333331</v>
      </c>
      <c r="AT84" s="11">
        <f t="shared" si="85"/>
        <v>433.33333333333331</v>
      </c>
      <c r="AU84" s="11">
        <f t="shared" si="85"/>
        <v>433.33333333333331</v>
      </c>
      <c r="AV84" s="11">
        <f t="shared" si="85"/>
        <v>433.33333333333331</v>
      </c>
      <c r="AW84" s="208">
        <f t="shared" si="85"/>
        <v>433.33333333333331</v>
      </c>
      <c r="AX84" s="208">
        <f t="shared" si="85"/>
        <v>433.33333333333331</v>
      </c>
      <c r="AY84" s="208">
        <f t="shared" si="85"/>
        <v>433.33333333333331</v>
      </c>
      <c r="AZ84" s="208">
        <f t="shared" si="85"/>
        <v>433.33333333333331</v>
      </c>
      <c r="BA84" s="208">
        <f t="shared" si="85"/>
        <v>433.33333333333331</v>
      </c>
      <c r="BB84" s="208">
        <f t="shared" si="85"/>
        <v>433.33333333333331</v>
      </c>
      <c r="BC84" s="208">
        <f t="shared" si="85"/>
        <v>433.33333333333331</v>
      </c>
      <c r="BD84" s="208">
        <f t="shared" si="85"/>
        <v>433.33333333333331</v>
      </c>
      <c r="BE84" s="208">
        <f t="shared" si="85"/>
        <v>433.33333333333331</v>
      </c>
      <c r="BF84" s="208">
        <f t="shared" si="85"/>
        <v>433.33333333333331</v>
      </c>
      <c r="BG84" s="208">
        <f t="shared" si="85"/>
        <v>433.33333333333331</v>
      </c>
      <c r="BH84" s="208">
        <f t="shared" si="85"/>
        <v>433.33333333333331</v>
      </c>
      <c r="BI84" s="208">
        <f t="shared" si="85"/>
        <v>433.33333333333331</v>
      </c>
      <c r="BJ84" s="11">
        <f t="shared" si="85"/>
        <v>433.33333333333331</v>
      </c>
      <c r="BK84" s="11">
        <f t="shared" si="85"/>
        <v>433.33333333333331</v>
      </c>
      <c r="BL84" s="11">
        <f t="shared" si="85"/>
        <v>433.33333333333331</v>
      </c>
      <c r="BM84" s="11">
        <f t="shared" si="85"/>
        <v>433.33333333333331</v>
      </c>
      <c r="BN84" s="11">
        <f t="shared" si="85"/>
        <v>433.33333333333331</v>
      </c>
      <c r="BO84" s="11">
        <f t="shared" si="85"/>
        <v>433.33333333333331</v>
      </c>
      <c r="BP84" s="11">
        <f t="shared" si="85"/>
        <v>433.33333333333331</v>
      </c>
      <c r="BQ84" s="11">
        <f t="shared" si="85"/>
        <v>433.33333333333331</v>
      </c>
      <c r="BR84" s="11">
        <f t="shared" si="85"/>
        <v>433.33333333333331</v>
      </c>
      <c r="BS84" s="11">
        <f t="shared" si="85"/>
        <v>433.33333333333331</v>
      </c>
      <c r="BT84" s="11">
        <f t="shared" si="85"/>
        <v>433.33333333333331</v>
      </c>
      <c r="BU84" s="11">
        <f t="shared" si="85"/>
        <v>433.33333333333331</v>
      </c>
      <c r="BV84" s="11">
        <f t="shared" si="85"/>
        <v>433.33333333333331</v>
      </c>
      <c r="BW84" s="11">
        <f t="shared" si="85"/>
        <v>433.33333333333331</v>
      </c>
      <c r="BX84" s="11">
        <f t="shared" si="85"/>
        <v>433.33333333333331</v>
      </c>
      <c r="BY84" s="11">
        <f t="shared" si="85"/>
        <v>433.33333333333331</v>
      </c>
      <c r="BZ84" s="11">
        <f t="shared" si="85"/>
        <v>433.33333333333331</v>
      </c>
      <c r="CA84" s="11">
        <f t="shared" si="85"/>
        <v>433.33333333333331</v>
      </c>
      <c r="CB84" s="11">
        <f t="shared" si="85"/>
        <v>433.33333333333331</v>
      </c>
      <c r="CC84" s="11">
        <f t="shared" si="85"/>
        <v>433.33333333333331</v>
      </c>
      <c r="CD84" s="11">
        <f t="shared" si="85"/>
        <v>433.33333333333331</v>
      </c>
      <c r="CE84" s="11">
        <f t="shared" si="85"/>
        <v>433.33333333333331</v>
      </c>
      <c r="CF84" s="11">
        <f t="shared" si="85"/>
        <v>433.33333333333331</v>
      </c>
      <c r="CG84" s="11">
        <f t="shared" si="85"/>
        <v>433.33333333333331</v>
      </c>
      <c r="CH84" s="11">
        <f t="shared" si="85"/>
        <v>433.33333333333331</v>
      </c>
      <c r="CI84" s="11">
        <f t="shared" si="85"/>
        <v>433.33333333333331</v>
      </c>
      <c r="CJ84" s="11">
        <f t="shared" si="85"/>
        <v>433.33333333333331</v>
      </c>
      <c r="CK84" s="11">
        <f t="shared" si="85"/>
        <v>433.33333333333331</v>
      </c>
      <c r="CL84" s="11">
        <f t="shared" si="85"/>
        <v>433.33333333333331</v>
      </c>
      <c r="CM84" s="11">
        <f t="shared" si="85"/>
        <v>433.33333333333331</v>
      </c>
      <c r="CN84" s="11">
        <f t="shared" si="85"/>
        <v>433.33333333333331</v>
      </c>
      <c r="CO84" s="11">
        <f t="shared" si="85"/>
        <v>433.33333333333331</v>
      </c>
      <c r="CP84" s="11">
        <f t="shared" si="85"/>
        <v>433.33333333333331</v>
      </c>
      <c r="CQ84" s="11">
        <f t="shared" si="85"/>
        <v>433.33333333333331</v>
      </c>
      <c r="CR84" s="11">
        <f t="shared" si="85"/>
        <v>433.33333333333331</v>
      </c>
      <c r="CS84" s="11">
        <f t="shared" si="85"/>
        <v>433.33333333333331</v>
      </c>
      <c r="CT84" s="11">
        <f t="shared" si="85"/>
        <v>433.33333333333331</v>
      </c>
      <c r="CU84" s="11">
        <f t="shared" si="85"/>
        <v>433.33333333333331</v>
      </c>
      <c r="CV84" s="11">
        <f t="shared" si="85"/>
        <v>433.33333333333331</v>
      </c>
      <c r="CW84" s="11">
        <f t="shared" si="85"/>
        <v>433.33333333333331</v>
      </c>
    </row>
    <row r="85" spans="1:108" x14ac:dyDescent="0.3">
      <c r="A85">
        <v>82</v>
      </c>
      <c r="B85" s="14">
        <v>45435</v>
      </c>
      <c r="C85" t="s">
        <v>250</v>
      </c>
      <c r="D85" t="s">
        <v>117</v>
      </c>
      <c r="E85" s="9">
        <v>11360</v>
      </c>
      <c r="F85" s="19">
        <f>E85/60</f>
        <v>189.33333333333334</v>
      </c>
      <c r="G85" s="14">
        <v>47238</v>
      </c>
      <c r="H85" s="11">
        <f t="shared" si="71"/>
        <v>0</v>
      </c>
      <c r="AM85" s="11"/>
      <c r="AN85" s="11"/>
      <c r="AO85" s="11"/>
      <c r="AP85" s="11">
        <f t="shared" ref="AP85:CW85" si="86">$F$85</f>
        <v>189.33333333333334</v>
      </c>
      <c r="AQ85" s="11">
        <f t="shared" si="86"/>
        <v>189.33333333333334</v>
      </c>
      <c r="AR85" s="11">
        <f t="shared" si="86"/>
        <v>189.33333333333334</v>
      </c>
      <c r="AS85" s="11">
        <f t="shared" si="86"/>
        <v>189.33333333333334</v>
      </c>
      <c r="AT85" s="11">
        <f t="shared" si="86"/>
        <v>189.33333333333334</v>
      </c>
      <c r="AU85" s="11">
        <f t="shared" si="86"/>
        <v>189.33333333333334</v>
      </c>
      <c r="AV85" s="11">
        <f t="shared" si="86"/>
        <v>189.33333333333334</v>
      </c>
      <c r="AW85" s="208">
        <f t="shared" si="86"/>
        <v>189.33333333333334</v>
      </c>
      <c r="AX85" s="208">
        <f t="shared" si="86"/>
        <v>189.33333333333334</v>
      </c>
      <c r="AY85" s="208">
        <f t="shared" si="86"/>
        <v>189.33333333333334</v>
      </c>
      <c r="AZ85" s="208">
        <f t="shared" si="86"/>
        <v>189.33333333333334</v>
      </c>
      <c r="BA85" s="208">
        <f t="shared" si="86"/>
        <v>189.33333333333334</v>
      </c>
      <c r="BB85" s="208">
        <f t="shared" si="86"/>
        <v>189.33333333333334</v>
      </c>
      <c r="BC85" s="208">
        <f t="shared" si="86"/>
        <v>189.33333333333334</v>
      </c>
      <c r="BD85" s="208">
        <f t="shared" si="86"/>
        <v>189.33333333333334</v>
      </c>
      <c r="BE85" s="208">
        <f t="shared" si="86"/>
        <v>189.33333333333334</v>
      </c>
      <c r="BF85" s="208">
        <f t="shared" si="86"/>
        <v>189.33333333333334</v>
      </c>
      <c r="BG85" s="208">
        <f t="shared" si="86"/>
        <v>189.33333333333334</v>
      </c>
      <c r="BH85" s="208">
        <f t="shared" si="86"/>
        <v>189.33333333333334</v>
      </c>
      <c r="BI85" s="208">
        <f t="shared" si="86"/>
        <v>189.33333333333334</v>
      </c>
      <c r="BJ85" s="11">
        <f t="shared" si="86"/>
        <v>189.33333333333334</v>
      </c>
      <c r="BK85" s="11">
        <f t="shared" si="86"/>
        <v>189.33333333333334</v>
      </c>
      <c r="BL85" s="11">
        <f t="shared" si="86"/>
        <v>189.33333333333334</v>
      </c>
      <c r="BM85" s="11">
        <f t="shared" si="86"/>
        <v>189.33333333333334</v>
      </c>
      <c r="BN85" s="11">
        <f t="shared" si="86"/>
        <v>189.33333333333334</v>
      </c>
      <c r="BO85" s="11">
        <f t="shared" si="86"/>
        <v>189.33333333333334</v>
      </c>
      <c r="BP85" s="11">
        <f t="shared" si="86"/>
        <v>189.33333333333334</v>
      </c>
      <c r="BQ85" s="11">
        <f t="shared" si="86"/>
        <v>189.33333333333334</v>
      </c>
      <c r="BR85" s="11">
        <f t="shared" si="86"/>
        <v>189.33333333333334</v>
      </c>
      <c r="BS85" s="11">
        <f t="shared" si="86"/>
        <v>189.33333333333334</v>
      </c>
      <c r="BT85" s="11">
        <f t="shared" si="86"/>
        <v>189.33333333333334</v>
      </c>
      <c r="BU85" s="11">
        <f t="shared" si="86"/>
        <v>189.33333333333334</v>
      </c>
      <c r="BV85" s="11">
        <f t="shared" si="86"/>
        <v>189.33333333333334</v>
      </c>
      <c r="BW85" s="11">
        <f t="shared" si="86"/>
        <v>189.33333333333334</v>
      </c>
      <c r="BX85" s="11">
        <f t="shared" si="86"/>
        <v>189.33333333333334</v>
      </c>
      <c r="BY85" s="11">
        <f t="shared" si="86"/>
        <v>189.33333333333334</v>
      </c>
      <c r="BZ85" s="11">
        <f t="shared" si="86"/>
        <v>189.33333333333334</v>
      </c>
      <c r="CA85" s="11">
        <f t="shared" si="86"/>
        <v>189.33333333333334</v>
      </c>
      <c r="CB85" s="11">
        <f t="shared" si="86"/>
        <v>189.33333333333334</v>
      </c>
      <c r="CC85" s="11">
        <f t="shared" si="86"/>
        <v>189.33333333333334</v>
      </c>
      <c r="CD85" s="11">
        <f t="shared" si="86"/>
        <v>189.33333333333334</v>
      </c>
      <c r="CE85" s="11">
        <f t="shared" si="86"/>
        <v>189.33333333333334</v>
      </c>
      <c r="CF85" s="11">
        <f t="shared" si="86"/>
        <v>189.33333333333334</v>
      </c>
      <c r="CG85" s="11">
        <f t="shared" si="86"/>
        <v>189.33333333333334</v>
      </c>
      <c r="CH85" s="11">
        <f t="shared" si="86"/>
        <v>189.33333333333334</v>
      </c>
      <c r="CI85" s="11">
        <f t="shared" si="86"/>
        <v>189.33333333333334</v>
      </c>
      <c r="CJ85" s="11">
        <f t="shared" si="86"/>
        <v>189.33333333333334</v>
      </c>
      <c r="CK85" s="11">
        <f t="shared" si="86"/>
        <v>189.33333333333334</v>
      </c>
      <c r="CL85" s="11">
        <f t="shared" si="86"/>
        <v>189.33333333333334</v>
      </c>
      <c r="CM85" s="11">
        <f t="shared" si="86"/>
        <v>189.33333333333334</v>
      </c>
      <c r="CN85" s="11">
        <f t="shared" si="86"/>
        <v>189.33333333333334</v>
      </c>
      <c r="CO85" s="11">
        <f t="shared" si="86"/>
        <v>189.33333333333334</v>
      </c>
      <c r="CP85" s="11">
        <f t="shared" si="86"/>
        <v>189.33333333333334</v>
      </c>
      <c r="CQ85" s="11">
        <f t="shared" si="86"/>
        <v>189.33333333333334</v>
      </c>
      <c r="CR85" s="11">
        <f t="shared" si="86"/>
        <v>189.33333333333334</v>
      </c>
      <c r="CS85" s="11">
        <f t="shared" si="86"/>
        <v>189.33333333333334</v>
      </c>
      <c r="CT85" s="11">
        <f t="shared" si="86"/>
        <v>189.33333333333334</v>
      </c>
      <c r="CU85" s="11">
        <f t="shared" si="86"/>
        <v>189.33333333333334</v>
      </c>
      <c r="CV85" s="11">
        <f t="shared" si="86"/>
        <v>189.33333333333334</v>
      </c>
      <c r="CW85" s="11">
        <f t="shared" si="86"/>
        <v>189.33333333333334</v>
      </c>
    </row>
    <row r="86" spans="1:108" x14ac:dyDescent="0.3">
      <c r="A86">
        <v>83</v>
      </c>
      <c r="B86" s="14">
        <v>45426</v>
      </c>
      <c r="C86" t="s">
        <v>251</v>
      </c>
      <c r="D86" t="s">
        <v>117</v>
      </c>
      <c r="E86" s="9">
        <v>24500</v>
      </c>
      <c r="F86" s="19">
        <f>E86/60</f>
        <v>408.33333333333331</v>
      </c>
      <c r="G86" s="14">
        <v>47238</v>
      </c>
      <c r="H86" s="11">
        <f t="shared" si="71"/>
        <v>0</v>
      </c>
      <c r="AM86" s="11"/>
      <c r="AN86" s="11"/>
      <c r="AO86" s="11"/>
      <c r="AP86" s="11">
        <f t="shared" ref="AP86:CW86" si="87">$F$86</f>
        <v>408.33333333333331</v>
      </c>
      <c r="AQ86" s="11">
        <f t="shared" si="87"/>
        <v>408.33333333333331</v>
      </c>
      <c r="AR86" s="11">
        <f t="shared" si="87"/>
        <v>408.33333333333331</v>
      </c>
      <c r="AS86" s="11">
        <f t="shared" si="87"/>
        <v>408.33333333333331</v>
      </c>
      <c r="AT86" s="11">
        <f t="shared" si="87"/>
        <v>408.33333333333331</v>
      </c>
      <c r="AU86" s="11">
        <f t="shared" si="87"/>
        <v>408.33333333333331</v>
      </c>
      <c r="AV86" s="11">
        <f t="shared" si="87"/>
        <v>408.33333333333331</v>
      </c>
      <c r="AW86" s="208">
        <f t="shared" si="87"/>
        <v>408.33333333333331</v>
      </c>
      <c r="AX86" s="208">
        <f t="shared" si="87"/>
        <v>408.33333333333331</v>
      </c>
      <c r="AY86" s="208">
        <f t="shared" si="87"/>
        <v>408.33333333333331</v>
      </c>
      <c r="AZ86" s="208">
        <f t="shared" si="87"/>
        <v>408.33333333333331</v>
      </c>
      <c r="BA86" s="208">
        <f t="shared" si="87"/>
        <v>408.33333333333331</v>
      </c>
      <c r="BB86" s="208">
        <f t="shared" si="87"/>
        <v>408.33333333333331</v>
      </c>
      <c r="BC86" s="208">
        <f t="shared" si="87"/>
        <v>408.33333333333331</v>
      </c>
      <c r="BD86" s="208">
        <f t="shared" si="87"/>
        <v>408.33333333333331</v>
      </c>
      <c r="BE86" s="208">
        <f t="shared" si="87"/>
        <v>408.33333333333331</v>
      </c>
      <c r="BF86" s="208">
        <f t="shared" si="87"/>
        <v>408.33333333333331</v>
      </c>
      <c r="BG86" s="208">
        <f t="shared" si="87"/>
        <v>408.33333333333331</v>
      </c>
      <c r="BH86" s="208">
        <f t="shared" si="87"/>
        <v>408.33333333333331</v>
      </c>
      <c r="BI86" s="208">
        <f t="shared" si="87"/>
        <v>408.33333333333331</v>
      </c>
      <c r="BJ86" s="11">
        <f t="shared" si="87"/>
        <v>408.33333333333331</v>
      </c>
      <c r="BK86" s="11">
        <f t="shared" si="87"/>
        <v>408.33333333333331</v>
      </c>
      <c r="BL86" s="11">
        <f t="shared" si="87"/>
        <v>408.33333333333331</v>
      </c>
      <c r="BM86" s="11">
        <f t="shared" si="87"/>
        <v>408.33333333333331</v>
      </c>
      <c r="BN86" s="11">
        <f t="shared" si="87"/>
        <v>408.33333333333331</v>
      </c>
      <c r="BO86" s="11">
        <f t="shared" si="87"/>
        <v>408.33333333333331</v>
      </c>
      <c r="BP86" s="11">
        <f t="shared" si="87"/>
        <v>408.33333333333331</v>
      </c>
      <c r="BQ86" s="11">
        <f t="shared" si="87"/>
        <v>408.33333333333331</v>
      </c>
      <c r="BR86" s="11">
        <f t="shared" si="87"/>
        <v>408.33333333333331</v>
      </c>
      <c r="BS86" s="11">
        <f t="shared" si="87"/>
        <v>408.33333333333331</v>
      </c>
      <c r="BT86" s="11">
        <f t="shared" si="87"/>
        <v>408.33333333333331</v>
      </c>
      <c r="BU86" s="11">
        <f t="shared" si="87"/>
        <v>408.33333333333331</v>
      </c>
      <c r="BV86" s="11">
        <f t="shared" si="87"/>
        <v>408.33333333333331</v>
      </c>
      <c r="BW86" s="11">
        <f t="shared" si="87"/>
        <v>408.33333333333331</v>
      </c>
      <c r="BX86" s="11">
        <f t="shared" si="87"/>
        <v>408.33333333333331</v>
      </c>
      <c r="BY86" s="11">
        <f t="shared" si="87"/>
        <v>408.33333333333331</v>
      </c>
      <c r="BZ86" s="11">
        <f t="shared" si="87"/>
        <v>408.33333333333331</v>
      </c>
      <c r="CA86" s="11">
        <f t="shared" si="87"/>
        <v>408.33333333333331</v>
      </c>
      <c r="CB86" s="11">
        <f t="shared" si="87"/>
        <v>408.33333333333331</v>
      </c>
      <c r="CC86" s="11">
        <f t="shared" si="87"/>
        <v>408.33333333333331</v>
      </c>
      <c r="CD86" s="11">
        <f t="shared" si="87"/>
        <v>408.33333333333331</v>
      </c>
      <c r="CE86" s="11">
        <f t="shared" si="87"/>
        <v>408.33333333333331</v>
      </c>
      <c r="CF86" s="11">
        <f t="shared" si="87"/>
        <v>408.33333333333331</v>
      </c>
      <c r="CG86" s="11">
        <f t="shared" si="87"/>
        <v>408.33333333333331</v>
      </c>
      <c r="CH86" s="11">
        <f t="shared" si="87"/>
        <v>408.33333333333331</v>
      </c>
      <c r="CI86" s="11">
        <f t="shared" si="87"/>
        <v>408.33333333333331</v>
      </c>
      <c r="CJ86" s="11">
        <f t="shared" si="87"/>
        <v>408.33333333333331</v>
      </c>
      <c r="CK86" s="11">
        <f t="shared" si="87"/>
        <v>408.33333333333331</v>
      </c>
      <c r="CL86" s="11">
        <f t="shared" si="87"/>
        <v>408.33333333333331</v>
      </c>
      <c r="CM86" s="11">
        <f t="shared" si="87"/>
        <v>408.33333333333331</v>
      </c>
      <c r="CN86" s="11">
        <f t="shared" si="87"/>
        <v>408.33333333333331</v>
      </c>
      <c r="CO86" s="11">
        <f t="shared" si="87"/>
        <v>408.33333333333331</v>
      </c>
      <c r="CP86" s="11">
        <f t="shared" si="87"/>
        <v>408.33333333333331</v>
      </c>
      <c r="CQ86" s="11">
        <f t="shared" si="87"/>
        <v>408.33333333333331</v>
      </c>
      <c r="CR86" s="11">
        <f t="shared" si="87"/>
        <v>408.33333333333331</v>
      </c>
      <c r="CS86" s="11">
        <f t="shared" si="87"/>
        <v>408.33333333333331</v>
      </c>
      <c r="CT86" s="11">
        <f t="shared" si="87"/>
        <v>408.33333333333331</v>
      </c>
      <c r="CU86" s="11">
        <f t="shared" si="87"/>
        <v>408.33333333333331</v>
      </c>
      <c r="CV86" s="11">
        <f t="shared" si="87"/>
        <v>408.33333333333331</v>
      </c>
      <c r="CW86" s="11">
        <f t="shared" si="87"/>
        <v>408.33333333333331</v>
      </c>
    </row>
    <row r="87" spans="1:108" x14ac:dyDescent="0.3">
      <c r="A87">
        <v>84</v>
      </c>
      <c r="B87" s="14">
        <v>45443</v>
      </c>
      <c r="C87" t="s">
        <v>252</v>
      </c>
      <c r="D87" t="s">
        <v>117</v>
      </c>
      <c r="E87" s="9">
        <v>22500</v>
      </c>
      <c r="F87" s="19">
        <f>E87/60</f>
        <v>375</v>
      </c>
      <c r="G87" s="14">
        <v>47238</v>
      </c>
      <c r="H87" s="11">
        <f t="shared" si="71"/>
        <v>0</v>
      </c>
      <c r="AM87" s="11"/>
      <c r="AN87" s="11"/>
      <c r="AO87" s="11"/>
      <c r="AP87" s="11"/>
      <c r="AQ87" s="11">
        <f t="shared" ref="AQ87:CX87" si="88">$F$87</f>
        <v>375</v>
      </c>
      <c r="AR87" s="11">
        <f t="shared" si="88"/>
        <v>375</v>
      </c>
      <c r="AS87" s="11">
        <f t="shared" si="88"/>
        <v>375</v>
      </c>
      <c r="AT87" s="11">
        <f t="shared" si="88"/>
        <v>375</v>
      </c>
      <c r="AU87" s="11">
        <f t="shared" si="88"/>
        <v>375</v>
      </c>
      <c r="AV87" s="11">
        <f t="shared" si="88"/>
        <v>375</v>
      </c>
      <c r="AW87" s="208">
        <f t="shared" si="88"/>
        <v>375</v>
      </c>
      <c r="AX87" s="208">
        <f t="shared" si="88"/>
        <v>375</v>
      </c>
      <c r="AY87" s="208">
        <f t="shared" si="88"/>
        <v>375</v>
      </c>
      <c r="AZ87" s="208">
        <f t="shared" si="88"/>
        <v>375</v>
      </c>
      <c r="BA87" s="208">
        <f t="shared" si="88"/>
        <v>375</v>
      </c>
      <c r="BB87" s="208">
        <f t="shared" si="88"/>
        <v>375</v>
      </c>
      <c r="BC87" s="208">
        <f t="shared" si="88"/>
        <v>375</v>
      </c>
      <c r="BD87" s="208">
        <f t="shared" si="88"/>
        <v>375</v>
      </c>
      <c r="BE87" s="208">
        <f t="shared" si="88"/>
        <v>375</v>
      </c>
      <c r="BF87" s="208">
        <f t="shared" si="88"/>
        <v>375</v>
      </c>
      <c r="BG87" s="208">
        <f t="shared" si="88"/>
        <v>375</v>
      </c>
      <c r="BH87" s="208">
        <f t="shared" si="88"/>
        <v>375</v>
      </c>
      <c r="BI87" s="208">
        <f t="shared" si="88"/>
        <v>375</v>
      </c>
      <c r="BJ87" s="11">
        <f t="shared" si="88"/>
        <v>375</v>
      </c>
      <c r="BK87" s="11">
        <f t="shared" si="88"/>
        <v>375</v>
      </c>
      <c r="BL87" s="11">
        <f t="shared" si="88"/>
        <v>375</v>
      </c>
      <c r="BM87" s="11">
        <f t="shared" si="88"/>
        <v>375</v>
      </c>
      <c r="BN87" s="11">
        <f t="shared" si="88"/>
        <v>375</v>
      </c>
      <c r="BO87" s="11">
        <f t="shared" si="88"/>
        <v>375</v>
      </c>
      <c r="BP87" s="11">
        <f t="shared" si="88"/>
        <v>375</v>
      </c>
      <c r="BQ87" s="11">
        <f t="shared" si="88"/>
        <v>375</v>
      </c>
      <c r="BR87" s="11">
        <f t="shared" si="88"/>
        <v>375</v>
      </c>
      <c r="BS87" s="11">
        <f t="shared" si="88"/>
        <v>375</v>
      </c>
      <c r="BT87" s="11">
        <f t="shared" si="88"/>
        <v>375</v>
      </c>
      <c r="BU87" s="11">
        <f t="shared" si="88"/>
        <v>375</v>
      </c>
      <c r="BV87" s="11">
        <f t="shared" si="88"/>
        <v>375</v>
      </c>
      <c r="BW87" s="11">
        <f t="shared" si="88"/>
        <v>375</v>
      </c>
      <c r="BX87" s="11">
        <f t="shared" si="88"/>
        <v>375</v>
      </c>
      <c r="BY87" s="11">
        <f t="shared" si="88"/>
        <v>375</v>
      </c>
      <c r="BZ87" s="11">
        <f t="shared" si="88"/>
        <v>375</v>
      </c>
      <c r="CA87" s="11">
        <f t="shared" si="88"/>
        <v>375</v>
      </c>
      <c r="CB87" s="11">
        <f t="shared" si="88"/>
        <v>375</v>
      </c>
      <c r="CC87" s="11">
        <f t="shared" si="88"/>
        <v>375</v>
      </c>
      <c r="CD87" s="11">
        <f t="shared" si="88"/>
        <v>375</v>
      </c>
      <c r="CE87" s="11">
        <f t="shared" si="88"/>
        <v>375</v>
      </c>
      <c r="CF87" s="11">
        <f t="shared" si="88"/>
        <v>375</v>
      </c>
      <c r="CG87" s="11">
        <f t="shared" si="88"/>
        <v>375</v>
      </c>
      <c r="CH87" s="11">
        <f t="shared" si="88"/>
        <v>375</v>
      </c>
      <c r="CI87" s="11">
        <f t="shared" si="88"/>
        <v>375</v>
      </c>
      <c r="CJ87" s="11">
        <f t="shared" si="88"/>
        <v>375</v>
      </c>
      <c r="CK87" s="11">
        <f t="shared" si="88"/>
        <v>375</v>
      </c>
      <c r="CL87" s="11">
        <f t="shared" si="88"/>
        <v>375</v>
      </c>
      <c r="CM87" s="11">
        <f t="shared" si="88"/>
        <v>375</v>
      </c>
      <c r="CN87" s="11">
        <f t="shared" si="88"/>
        <v>375</v>
      </c>
      <c r="CO87" s="11">
        <f t="shared" si="88"/>
        <v>375</v>
      </c>
      <c r="CP87" s="11">
        <f t="shared" si="88"/>
        <v>375</v>
      </c>
      <c r="CQ87" s="11">
        <f t="shared" si="88"/>
        <v>375</v>
      </c>
      <c r="CR87" s="11">
        <f t="shared" si="88"/>
        <v>375</v>
      </c>
      <c r="CS87" s="11">
        <f t="shared" si="88"/>
        <v>375</v>
      </c>
      <c r="CT87" s="11">
        <f t="shared" si="88"/>
        <v>375</v>
      </c>
      <c r="CU87" s="11">
        <f t="shared" si="88"/>
        <v>375</v>
      </c>
      <c r="CV87" s="11">
        <f t="shared" si="88"/>
        <v>375</v>
      </c>
      <c r="CW87" s="11">
        <f t="shared" si="88"/>
        <v>375</v>
      </c>
      <c r="CX87" s="11">
        <f t="shared" si="88"/>
        <v>375</v>
      </c>
    </row>
    <row r="88" spans="1:108" x14ac:dyDescent="0.3">
      <c r="A88">
        <v>85</v>
      </c>
      <c r="B88" s="14">
        <v>45443</v>
      </c>
      <c r="C88" t="s">
        <v>199</v>
      </c>
      <c r="D88" t="s">
        <v>197</v>
      </c>
      <c r="E88" s="9">
        <v>1000</v>
      </c>
      <c r="F88" s="19">
        <v>1000</v>
      </c>
      <c r="G88" s="14">
        <v>45444</v>
      </c>
      <c r="H88" s="11">
        <f t="shared" si="71"/>
        <v>0</v>
      </c>
      <c r="AM88" s="11"/>
      <c r="AN88" s="11"/>
      <c r="AO88" s="11"/>
      <c r="AP88" s="11"/>
      <c r="AQ88" s="11">
        <f>F88</f>
        <v>1000</v>
      </c>
      <c r="AR88" s="11"/>
      <c r="AS88" s="11"/>
      <c r="AT88" s="11"/>
      <c r="AU88" s="11"/>
      <c r="AV88" s="11"/>
      <c r="AW88" s="208"/>
      <c r="AX88" s="208"/>
      <c r="AY88" s="208"/>
      <c r="AZ88" s="208"/>
      <c r="BA88" s="208"/>
      <c r="BB88" s="208"/>
      <c r="BC88" s="208"/>
      <c r="BD88" s="208"/>
      <c r="BE88" s="208"/>
      <c r="BF88" s="208"/>
      <c r="BG88" s="208"/>
      <c r="BH88" s="208"/>
      <c r="BI88" s="208"/>
    </row>
    <row r="89" spans="1:108" x14ac:dyDescent="0.3">
      <c r="A89">
        <v>86</v>
      </c>
      <c r="B89" s="14">
        <v>45466</v>
      </c>
      <c r="C89" t="s">
        <v>253</v>
      </c>
      <c r="D89" t="s">
        <v>117</v>
      </c>
      <c r="E89" s="9">
        <v>10500</v>
      </c>
      <c r="F89" s="19">
        <f>E89/60</f>
        <v>175</v>
      </c>
      <c r="G89" s="14">
        <v>47269</v>
      </c>
      <c r="H89" s="11">
        <f t="shared" si="71"/>
        <v>0</v>
      </c>
      <c r="AM89" s="11"/>
      <c r="AN89" s="11"/>
      <c r="AO89" s="11"/>
      <c r="AP89" s="11"/>
      <c r="AQ89" s="11">
        <f t="shared" ref="AQ89:CX89" si="89">$F$89</f>
        <v>175</v>
      </c>
      <c r="AR89" s="11">
        <f t="shared" si="89"/>
        <v>175</v>
      </c>
      <c r="AS89" s="11">
        <f t="shared" si="89"/>
        <v>175</v>
      </c>
      <c r="AT89" s="11">
        <f t="shared" si="89"/>
        <v>175</v>
      </c>
      <c r="AU89" s="11">
        <f t="shared" si="89"/>
        <v>175</v>
      </c>
      <c r="AV89" s="11">
        <f t="shared" si="89"/>
        <v>175</v>
      </c>
      <c r="AW89" s="208">
        <f t="shared" si="89"/>
        <v>175</v>
      </c>
      <c r="AX89" s="208">
        <f t="shared" si="89"/>
        <v>175</v>
      </c>
      <c r="AY89" s="208">
        <f t="shared" si="89"/>
        <v>175</v>
      </c>
      <c r="AZ89" s="208">
        <f t="shared" si="89"/>
        <v>175</v>
      </c>
      <c r="BA89" s="208">
        <f t="shared" si="89"/>
        <v>175</v>
      </c>
      <c r="BB89" s="208">
        <f t="shared" si="89"/>
        <v>175</v>
      </c>
      <c r="BC89" s="208">
        <f t="shared" si="89"/>
        <v>175</v>
      </c>
      <c r="BD89" s="208">
        <f t="shared" si="89"/>
        <v>175</v>
      </c>
      <c r="BE89" s="208">
        <f t="shared" si="89"/>
        <v>175</v>
      </c>
      <c r="BF89" s="208">
        <f t="shared" si="89"/>
        <v>175</v>
      </c>
      <c r="BG89" s="208">
        <f t="shared" si="89"/>
        <v>175</v>
      </c>
      <c r="BH89" s="208">
        <f t="shared" si="89"/>
        <v>175</v>
      </c>
      <c r="BI89" s="208">
        <f t="shared" si="89"/>
        <v>175</v>
      </c>
      <c r="BJ89" s="11">
        <f t="shared" si="89"/>
        <v>175</v>
      </c>
      <c r="BK89" s="11">
        <f t="shared" si="89"/>
        <v>175</v>
      </c>
      <c r="BL89" s="11">
        <f t="shared" si="89"/>
        <v>175</v>
      </c>
      <c r="BM89" s="11">
        <f t="shared" si="89"/>
        <v>175</v>
      </c>
      <c r="BN89" s="11">
        <f t="shared" si="89"/>
        <v>175</v>
      </c>
      <c r="BO89" s="11">
        <f t="shared" si="89"/>
        <v>175</v>
      </c>
      <c r="BP89" s="11">
        <f t="shared" si="89"/>
        <v>175</v>
      </c>
      <c r="BQ89" s="11">
        <f t="shared" si="89"/>
        <v>175</v>
      </c>
      <c r="BR89" s="11">
        <f t="shared" si="89"/>
        <v>175</v>
      </c>
      <c r="BS89" s="11">
        <f t="shared" si="89"/>
        <v>175</v>
      </c>
      <c r="BT89" s="11">
        <f t="shared" si="89"/>
        <v>175</v>
      </c>
      <c r="BU89" s="11">
        <f t="shared" si="89"/>
        <v>175</v>
      </c>
      <c r="BV89" s="11">
        <f t="shared" si="89"/>
        <v>175</v>
      </c>
      <c r="BW89" s="11">
        <f t="shared" si="89"/>
        <v>175</v>
      </c>
      <c r="BX89" s="11">
        <f t="shared" si="89"/>
        <v>175</v>
      </c>
      <c r="BY89" s="11">
        <f t="shared" si="89"/>
        <v>175</v>
      </c>
      <c r="BZ89" s="11">
        <f t="shared" si="89"/>
        <v>175</v>
      </c>
      <c r="CA89" s="11">
        <f t="shared" si="89"/>
        <v>175</v>
      </c>
      <c r="CB89" s="11">
        <f t="shared" si="89"/>
        <v>175</v>
      </c>
      <c r="CC89" s="11">
        <f t="shared" si="89"/>
        <v>175</v>
      </c>
      <c r="CD89" s="11">
        <f t="shared" si="89"/>
        <v>175</v>
      </c>
      <c r="CE89" s="11">
        <f t="shared" si="89"/>
        <v>175</v>
      </c>
      <c r="CF89" s="11">
        <f t="shared" si="89"/>
        <v>175</v>
      </c>
      <c r="CG89" s="11">
        <f t="shared" si="89"/>
        <v>175</v>
      </c>
      <c r="CH89" s="11">
        <f t="shared" si="89"/>
        <v>175</v>
      </c>
      <c r="CI89" s="11">
        <f t="shared" si="89"/>
        <v>175</v>
      </c>
      <c r="CJ89" s="11">
        <f t="shared" si="89"/>
        <v>175</v>
      </c>
      <c r="CK89" s="11">
        <f t="shared" si="89"/>
        <v>175</v>
      </c>
      <c r="CL89" s="11">
        <f t="shared" si="89"/>
        <v>175</v>
      </c>
      <c r="CM89" s="11">
        <f t="shared" si="89"/>
        <v>175</v>
      </c>
      <c r="CN89" s="11">
        <f t="shared" si="89"/>
        <v>175</v>
      </c>
      <c r="CO89" s="11">
        <f t="shared" si="89"/>
        <v>175</v>
      </c>
      <c r="CP89" s="11">
        <f t="shared" si="89"/>
        <v>175</v>
      </c>
      <c r="CQ89" s="11">
        <f t="shared" si="89"/>
        <v>175</v>
      </c>
      <c r="CR89" s="11">
        <f t="shared" si="89"/>
        <v>175</v>
      </c>
      <c r="CS89" s="11">
        <f t="shared" si="89"/>
        <v>175</v>
      </c>
      <c r="CT89" s="11">
        <f t="shared" si="89"/>
        <v>175</v>
      </c>
      <c r="CU89" s="11">
        <f t="shared" si="89"/>
        <v>175</v>
      </c>
      <c r="CV89" s="11">
        <f t="shared" si="89"/>
        <v>175</v>
      </c>
      <c r="CW89" s="11">
        <f t="shared" si="89"/>
        <v>175</v>
      </c>
      <c r="CX89" s="11">
        <f t="shared" si="89"/>
        <v>175</v>
      </c>
      <c r="CY89" s="11"/>
      <c r="CZ89" s="11"/>
      <c r="DA89" s="11"/>
      <c r="DB89" s="11"/>
      <c r="DC89" s="11"/>
      <c r="DD89" s="11"/>
    </row>
    <row r="90" spans="1:108" x14ac:dyDescent="0.3">
      <c r="A90">
        <v>87</v>
      </c>
      <c r="B90" s="14">
        <v>45453</v>
      </c>
      <c r="C90" t="s">
        <v>254</v>
      </c>
      <c r="D90" t="s">
        <v>117</v>
      </c>
      <c r="E90" s="9">
        <v>12000</v>
      </c>
      <c r="F90" s="19">
        <f>E90/60</f>
        <v>200</v>
      </c>
      <c r="G90" s="14">
        <v>47290</v>
      </c>
      <c r="H90" s="11">
        <f t="shared" si="71"/>
        <v>0</v>
      </c>
      <c r="AM90" s="11"/>
      <c r="AN90" s="11"/>
      <c r="AO90" s="11"/>
      <c r="AP90" s="11"/>
      <c r="AQ90" s="11">
        <f t="shared" ref="AQ90:CX90" si="90">$F$90</f>
        <v>200</v>
      </c>
      <c r="AR90" s="11">
        <f t="shared" si="90"/>
        <v>200</v>
      </c>
      <c r="AS90" s="11">
        <f t="shared" si="90"/>
        <v>200</v>
      </c>
      <c r="AT90" s="11">
        <f t="shared" si="90"/>
        <v>200</v>
      </c>
      <c r="AU90" s="11">
        <f t="shared" si="90"/>
        <v>200</v>
      </c>
      <c r="AV90" s="11">
        <f t="shared" si="90"/>
        <v>200</v>
      </c>
      <c r="AW90" s="208">
        <f t="shared" si="90"/>
        <v>200</v>
      </c>
      <c r="AX90" s="208">
        <f t="shared" si="90"/>
        <v>200</v>
      </c>
      <c r="AY90" s="208">
        <f t="shared" si="90"/>
        <v>200</v>
      </c>
      <c r="AZ90" s="208">
        <f t="shared" si="90"/>
        <v>200</v>
      </c>
      <c r="BA90" s="208">
        <f t="shared" si="90"/>
        <v>200</v>
      </c>
      <c r="BB90" s="208">
        <f t="shared" si="90"/>
        <v>200</v>
      </c>
      <c r="BC90" s="208">
        <f t="shared" si="90"/>
        <v>200</v>
      </c>
      <c r="BD90" s="208">
        <f t="shared" si="90"/>
        <v>200</v>
      </c>
      <c r="BE90" s="208">
        <f t="shared" si="90"/>
        <v>200</v>
      </c>
      <c r="BF90" s="208">
        <f t="shared" si="90"/>
        <v>200</v>
      </c>
      <c r="BG90" s="208">
        <f t="shared" si="90"/>
        <v>200</v>
      </c>
      <c r="BH90" s="208">
        <f t="shared" si="90"/>
        <v>200</v>
      </c>
      <c r="BI90" s="208">
        <f t="shared" si="90"/>
        <v>200</v>
      </c>
      <c r="BJ90" s="11">
        <f t="shared" si="90"/>
        <v>200</v>
      </c>
      <c r="BK90" s="11">
        <f t="shared" si="90"/>
        <v>200</v>
      </c>
      <c r="BL90" s="11">
        <f t="shared" si="90"/>
        <v>200</v>
      </c>
      <c r="BM90" s="11">
        <f t="shared" si="90"/>
        <v>200</v>
      </c>
      <c r="BN90" s="11">
        <f t="shared" si="90"/>
        <v>200</v>
      </c>
      <c r="BO90" s="11">
        <f t="shared" si="90"/>
        <v>200</v>
      </c>
      <c r="BP90" s="11">
        <f t="shared" si="90"/>
        <v>200</v>
      </c>
      <c r="BQ90" s="11">
        <f t="shared" si="90"/>
        <v>200</v>
      </c>
      <c r="BR90" s="11">
        <f t="shared" si="90"/>
        <v>200</v>
      </c>
      <c r="BS90" s="11">
        <f t="shared" si="90"/>
        <v>200</v>
      </c>
      <c r="BT90" s="11">
        <f t="shared" si="90"/>
        <v>200</v>
      </c>
      <c r="BU90" s="11">
        <f t="shared" si="90"/>
        <v>200</v>
      </c>
      <c r="BV90" s="11">
        <f t="shared" si="90"/>
        <v>200</v>
      </c>
      <c r="BW90" s="11">
        <f t="shared" si="90"/>
        <v>200</v>
      </c>
      <c r="BX90" s="11">
        <f t="shared" si="90"/>
        <v>200</v>
      </c>
      <c r="BY90" s="11">
        <f t="shared" si="90"/>
        <v>200</v>
      </c>
      <c r="BZ90" s="11">
        <f t="shared" si="90"/>
        <v>200</v>
      </c>
      <c r="CA90" s="11">
        <f t="shared" si="90"/>
        <v>200</v>
      </c>
      <c r="CB90" s="11">
        <f t="shared" si="90"/>
        <v>200</v>
      </c>
      <c r="CC90" s="11">
        <f t="shared" si="90"/>
        <v>200</v>
      </c>
      <c r="CD90" s="11">
        <f t="shared" si="90"/>
        <v>200</v>
      </c>
      <c r="CE90" s="11">
        <f t="shared" si="90"/>
        <v>200</v>
      </c>
      <c r="CF90" s="11">
        <f t="shared" si="90"/>
        <v>200</v>
      </c>
      <c r="CG90" s="11">
        <f t="shared" si="90"/>
        <v>200</v>
      </c>
      <c r="CH90" s="11">
        <f t="shared" si="90"/>
        <v>200</v>
      </c>
      <c r="CI90" s="11">
        <f t="shared" si="90"/>
        <v>200</v>
      </c>
      <c r="CJ90" s="11">
        <f t="shared" si="90"/>
        <v>200</v>
      </c>
      <c r="CK90" s="11">
        <f t="shared" si="90"/>
        <v>200</v>
      </c>
      <c r="CL90" s="11">
        <f t="shared" si="90"/>
        <v>200</v>
      </c>
      <c r="CM90" s="11">
        <f t="shared" si="90"/>
        <v>200</v>
      </c>
      <c r="CN90" s="11">
        <f t="shared" si="90"/>
        <v>200</v>
      </c>
      <c r="CO90" s="11">
        <f t="shared" si="90"/>
        <v>200</v>
      </c>
      <c r="CP90" s="11">
        <f t="shared" si="90"/>
        <v>200</v>
      </c>
      <c r="CQ90" s="11">
        <f t="shared" si="90"/>
        <v>200</v>
      </c>
      <c r="CR90" s="11">
        <f t="shared" si="90"/>
        <v>200</v>
      </c>
      <c r="CS90" s="11">
        <f t="shared" si="90"/>
        <v>200</v>
      </c>
      <c r="CT90" s="11">
        <f t="shared" si="90"/>
        <v>200</v>
      </c>
      <c r="CU90" s="11">
        <f t="shared" si="90"/>
        <v>200</v>
      </c>
      <c r="CV90" s="11">
        <f t="shared" si="90"/>
        <v>200</v>
      </c>
      <c r="CW90" s="11">
        <f t="shared" si="90"/>
        <v>200</v>
      </c>
      <c r="CX90" s="11">
        <f t="shared" si="90"/>
        <v>200</v>
      </c>
      <c r="CY90" s="11"/>
      <c r="CZ90" s="11"/>
      <c r="DA90" s="11"/>
      <c r="DB90" s="11"/>
      <c r="DC90" s="11"/>
      <c r="DD90" s="11"/>
    </row>
    <row r="91" spans="1:108" x14ac:dyDescent="0.3">
      <c r="A91">
        <v>88</v>
      </c>
      <c r="B91" s="14">
        <v>45453</v>
      </c>
      <c r="C91" t="s">
        <v>254</v>
      </c>
      <c r="D91" t="s">
        <v>197</v>
      </c>
      <c r="E91" s="9">
        <v>18000</v>
      </c>
      <c r="F91" s="19">
        <f>E91/12</f>
        <v>1500</v>
      </c>
      <c r="G91" s="14">
        <v>45808</v>
      </c>
      <c r="H91" s="11">
        <f t="shared" si="71"/>
        <v>0</v>
      </c>
      <c r="AM91" s="11"/>
      <c r="AN91" s="11"/>
      <c r="AO91" s="11"/>
      <c r="AP91" s="11"/>
      <c r="AQ91" s="11">
        <f t="shared" ref="AQ91:BB91" si="91">$F$91</f>
        <v>1500</v>
      </c>
      <c r="AR91" s="11">
        <f t="shared" si="91"/>
        <v>1500</v>
      </c>
      <c r="AS91" s="11">
        <f t="shared" si="91"/>
        <v>1500</v>
      </c>
      <c r="AT91" s="11">
        <f t="shared" si="91"/>
        <v>1500</v>
      </c>
      <c r="AU91" s="11">
        <f t="shared" si="91"/>
        <v>1500</v>
      </c>
      <c r="AV91" s="11">
        <f t="shared" si="91"/>
        <v>1500</v>
      </c>
      <c r="AW91" s="208">
        <f t="shared" si="91"/>
        <v>1500</v>
      </c>
      <c r="AX91" s="208">
        <f t="shared" si="91"/>
        <v>1500</v>
      </c>
      <c r="AY91" s="208">
        <f t="shared" si="91"/>
        <v>1500</v>
      </c>
      <c r="AZ91" s="208">
        <f t="shared" si="91"/>
        <v>1500</v>
      </c>
      <c r="BA91" s="208">
        <f t="shared" si="91"/>
        <v>1500</v>
      </c>
      <c r="BB91" s="208">
        <f t="shared" si="91"/>
        <v>1500</v>
      </c>
      <c r="BC91" s="208"/>
      <c r="BD91" s="208"/>
      <c r="BE91" s="208"/>
      <c r="BF91" s="208"/>
      <c r="BG91" s="208"/>
      <c r="BH91" s="208"/>
      <c r="BI91" s="208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</row>
    <row r="92" spans="1:108" x14ac:dyDescent="0.3">
      <c r="A92">
        <v>89</v>
      </c>
      <c r="B92" s="14">
        <v>45523</v>
      </c>
      <c r="C92" t="s">
        <v>232</v>
      </c>
      <c r="D92" t="s">
        <v>197</v>
      </c>
      <c r="E92" s="9">
        <v>9155</v>
      </c>
      <c r="F92" s="19">
        <f>E92/12</f>
        <v>762.91666666666663</v>
      </c>
      <c r="G92" s="14">
        <v>45857</v>
      </c>
      <c r="H92" s="11">
        <f t="shared" si="71"/>
        <v>0</v>
      </c>
      <c r="AM92" s="11"/>
      <c r="AN92" s="11"/>
      <c r="AO92" s="11"/>
      <c r="AP92" s="11"/>
      <c r="AQ92" s="11"/>
      <c r="AR92" s="11"/>
      <c r="AS92" s="11">
        <f t="shared" ref="AS92:BD92" si="92">$F$92</f>
        <v>762.91666666666663</v>
      </c>
      <c r="AT92" s="11">
        <f t="shared" si="92"/>
        <v>762.91666666666663</v>
      </c>
      <c r="AU92" s="11">
        <f t="shared" si="92"/>
        <v>762.91666666666663</v>
      </c>
      <c r="AV92" s="11">
        <f t="shared" si="92"/>
        <v>762.91666666666663</v>
      </c>
      <c r="AW92" s="208">
        <f t="shared" si="92"/>
        <v>762.91666666666663</v>
      </c>
      <c r="AX92" s="208">
        <f t="shared" si="92"/>
        <v>762.91666666666663</v>
      </c>
      <c r="AY92" s="208">
        <f t="shared" si="92"/>
        <v>762.91666666666663</v>
      </c>
      <c r="AZ92" s="208">
        <f t="shared" si="92"/>
        <v>762.91666666666663</v>
      </c>
      <c r="BA92" s="208">
        <f t="shared" si="92"/>
        <v>762.91666666666663</v>
      </c>
      <c r="BB92" s="208">
        <f t="shared" si="92"/>
        <v>762.91666666666663</v>
      </c>
      <c r="BC92" s="208">
        <f t="shared" si="92"/>
        <v>762.91666666666663</v>
      </c>
      <c r="BD92" s="208">
        <f t="shared" si="92"/>
        <v>762.91666666666663</v>
      </c>
      <c r="BE92" s="208"/>
      <c r="BF92" s="208"/>
      <c r="BG92" s="208"/>
      <c r="BH92" s="208"/>
      <c r="BI92" s="208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</row>
    <row r="93" spans="1:108" x14ac:dyDescent="0.3">
      <c r="A93">
        <v>90</v>
      </c>
      <c r="B93" s="14">
        <v>45572</v>
      </c>
      <c r="C93" t="s">
        <v>234</v>
      </c>
      <c r="D93" t="s">
        <v>197</v>
      </c>
      <c r="E93" s="9">
        <v>9515</v>
      </c>
      <c r="F93" s="19">
        <f>E93/12</f>
        <v>792.91666666666663</v>
      </c>
      <c r="G93" s="14">
        <v>45907</v>
      </c>
      <c r="H93" s="11">
        <f t="shared" si="71"/>
        <v>0</v>
      </c>
      <c r="AM93" s="11"/>
      <c r="AN93" s="11"/>
      <c r="AO93" s="11"/>
      <c r="AP93" s="11"/>
      <c r="AQ93" s="11"/>
      <c r="AR93" s="11"/>
      <c r="AS93" s="11"/>
      <c r="AT93" s="11"/>
      <c r="AU93" s="11">
        <f>F93</f>
        <v>792.91666666666663</v>
      </c>
      <c r="AV93" s="11">
        <f t="shared" ref="AV93:BF94" si="93">AU93</f>
        <v>792.91666666666663</v>
      </c>
      <c r="AW93" s="208">
        <f t="shared" si="93"/>
        <v>792.91666666666663</v>
      </c>
      <c r="AX93" s="208">
        <f t="shared" si="93"/>
        <v>792.91666666666663</v>
      </c>
      <c r="AY93" s="208">
        <f t="shared" si="93"/>
        <v>792.91666666666663</v>
      </c>
      <c r="AZ93" s="208">
        <f t="shared" si="93"/>
        <v>792.91666666666663</v>
      </c>
      <c r="BA93" s="208">
        <f t="shared" si="93"/>
        <v>792.91666666666663</v>
      </c>
      <c r="BB93" s="208">
        <f t="shared" si="93"/>
        <v>792.91666666666663</v>
      </c>
      <c r="BC93" s="208">
        <f t="shared" si="93"/>
        <v>792.91666666666663</v>
      </c>
      <c r="BD93" s="208">
        <f t="shared" si="93"/>
        <v>792.91666666666663</v>
      </c>
      <c r="BE93" s="208">
        <f t="shared" si="93"/>
        <v>792.91666666666663</v>
      </c>
      <c r="BF93" s="208">
        <f t="shared" si="93"/>
        <v>792.91666666666663</v>
      </c>
      <c r="BG93" s="208"/>
      <c r="BH93" s="208"/>
      <c r="BI93" s="208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</row>
    <row r="94" spans="1:108" x14ac:dyDescent="0.3">
      <c r="A94">
        <v>91</v>
      </c>
      <c r="B94" s="14">
        <v>45589</v>
      </c>
      <c r="C94" t="s">
        <v>269</v>
      </c>
      <c r="D94" t="s">
        <v>197</v>
      </c>
      <c r="E94" s="9">
        <v>11820</v>
      </c>
      <c r="F94" s="19">
        <f>E94/12</f>
        <v>985</v>
      </c>
      <c r="G94" s="14">
        <v>45559</v>
      </c>
      <c r="H94" s="11">
        <f t="shared" si="71"/>
        <v>0</v>
      </c>
      <c r="AM94" s="11"/>
      <c r="AN94" s="11"/>
      <c r="AO94" s="11"/>
      <c r="AP94" s="11"/>
      <c r="AQ94" s="11"/>
      <c r="AR94" s="11"/>
      <c r="AS94" s="11"/>
      <c r="AT94" s="11"/>
      <c r="AU94" s="11">
        <f>F94</f>
        <v>985</v>
      </c>
      <c r="AV94" s="11">
        <f t="shared" si="93"/>
        <v>985</v>
      </c>
      <c r="AW94" s="208">
        <f t="shared" si="93"/>
        <v>985</v>
      </c>
      <c r="AX94" s="208">
        <f t="shared" si="93"/>
        <v>985</v>
      </c>
      <c r="AY94" s="208">
        <f t="shared" si="93"/>
        <v>985</v>
      </c>
      <c r="AZ94" s="208">
        <f t="shared" si="93"/>
        <v>985</v>
      </c>
      <c r="BA94" s="208">
        <f t="shared" si="93"/>
        <v>985</v>
      </c>
      <c r="BB94" s="208">
        <f t="shared" si="93"/>
        <v>985</v>
      </c>
      <c r="BC94" s="208">
        <f t="shared" si="93"/>
        <v>985</v>
      </c>
      <c r="BD94" s="208">
        <f t="shared" si="93"/>
        <v>985</v>
      </c>
      <c r="BE94" s="208">
        <f t="shared" si="93"/>
        <v>985</v>
      </c>
      <c r="BF94" s="208">
        <f t="shared" si="93"/>
        <v>985</v>
      </c>
      <c r="BG94" s="208"/>
      <c r="BH94" s="208"/>
      <c r="BI94" s="208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</row>
    <row r="95" spans="1:108" x14ac:dyDescent="0.3">
      <c r="A95">
        <v>92</v>
      </c>
      <c r="B95" s="14">
        <v>45595</v>
      </c>
      <c r="C95" t="s">
        <v>270</v>
      </c>
      <c r="D95" t="s">
        <v>197</v>
      </c>
      <c r="E95" s="9">
        <v>3495</v>
      </c>
      <c r="F95" s="19">
        <f>E95/3</f>
        <v>1165</v>
      </c>
      <c r="G95" s="14">
        <v>45322</v>
      </c>
      <c r="H95" s="11">
        <f t="shared" si="71"/>
        <v>0</v>
      </c>
      <c r="AM95" s="11"/>
      <c r="AN95" s="11"/>
      <c r="AO95" s="11"/>
      <c r="AP95" s="11"/>
      <c r="AQ95" s="11"/>
      <c r="AR95" s="11"/>
      <c r="AS95" s="11"/>
      <c r="AT95" s="11"/>
      <c r="AU95" s="11">
        <f>F95</f>
        <v>1165</v>
      </c>
      <c r="AV95" s="11">
        <f>AU95</f>
        <v>1165</v>
      </c>
      <c r="AW95" s="208">
        <f>AV95</f>
        <v>1165</v>
      </c>
      <c r="AX95" s="208"/>
      <c r="AY95" s="208"/>
      <c r="AZ95" s="208"/>
      <c r="BA95" s="208"/>
      <c r="BB95" s="208"/>
      <c r="BC95" s="208"/>
      <c r="BD95" s="208"/>
      <c r="BE95" s="208"/>
      <c r="BF95" s="208"/>
      <c r="BG95" s="208"/>
      <c r="BH95" s="208"/>
      <c r="BI95" s="208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</row>
    <row r="96" spans="1:108" x14ac:dyDescent="0.3">
      <c r="A96">
        <v>93</v>
      </c>
      <c r="B96" s="14">
        <v>45596</v>
      </c>
      <c r="C96" t="s">
        <v>199</v>
      </c>
      <c r="D96" t="s">
        <v>197</v>
      </c>
      <c r="E96" s="9">
        <v>1000</v>
      </c>
      <c r="F96" s="19">
        <v>1000</v>
      </c>
      <c r="G96" s="14">
        <v>45626</v>
      </c>
      <c r="H96" s="11">
        <f t="shared" si="71"/>
        <v>0</v>
      </c>
      <c r="AM96" s="11"/>
      <c r="AN96" s="11"/>
      <c r="AO96" s="11"/>
      <c r="AP96" s="11"/>
      <c r="AQ96" s="11"/>
      <c r="AR96" s="11"/>
      <c r="AS96" s="11"/>
      <c r="AT96" s="11"/>
      <c r="AU96" s="11"/>
      <c r="AV96" s="11">
        <f>F96</f>
        <v>1000</v>
      </c>
      <c r="AW96" s="208"/>
      <c r="AX96" s="208"/>
      <c r="AY96" s="208"/>
      <c r="AZ96" s="208"/>
      <c r="BA96" s="208"/>
      <c r="BB96" s="208"/>
      <c r="BC96" s="208"/>
      <c r="BD96" s="208"/>
      <c r="BE96" s="208"/>
      <c r="BF96" s="208"/>
      <c r="BG96" s="208"/>
      <c r="BH96" s="208"/>
      <c r="BI96" s="208"/>
    </row>
    <row r="97" spans="1:120" x14ac:dyDescent="0.3">
      <c r="A97">
        <v>94</v>
      </c>
      <c r="B97" s="14">
        <v>45597</v>
      </c>
      <c r="C97" t="s">
        <v>272</v>
      </c>
      <c r="D97" t="s">
        <v>197</v>
      </c>
      <c r="E97" s="9">
        <v>3495</v>
      </c>
      <c r="F97" s="19">
        <f>E97/3</f>
        <v>1165</v>
      </c>
      <c r="G97" s="14">
        <v>45322</v>
      </c>
      <c r="H97" s="11">
        <f t="shared" si="71"/>
        <v>0</v>
      </c>
      <c r="AM97" s="11"/>
      <c r="AN97" s="11"/>
      <c r="AO97" s="11"/>
      <c r="AP97" s="11"/>
      <c r="AQ97" s="11"/>
      <c r="AR97" s="11"/>
      <c r="AS97" s="11"/>
      <c r="AT97" s="11"/>
      <c r="AU97" s="11"/>
      <c r="AV97" s="11">
        <f>F97</f>
        <v>1165</v>
      </c>
      <c r="AW97" s="208">
        <f>AV97</f>
        <v>1165</v>
      </c>
      <c r="AX97" s="208">
        <f>AW97</f>
        <v>1165</v>
      </c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</row>
    <row r="98" spans="1:120" x14ac:dyDescent="0.3">
      <c r="A98">
        <v>95</v>
      </c>
      <c r="B98" s="14">
        <v>45597</v>
      </c>
      <c r="C98" t="s">
        <v>273</v>
      </c>
      <c r="D98" t="s">
        <v>197</v>
      </c>
      <c r="E98" s="9">
        <v>6900</v>
      </c>
      <c r="F98" s="19">
        <f>E98/3</f>
        <v>2300</v>
      </c>
      <c r="G98" s="14">
        <v>45322</v>
      </c>
      <c r="H98" s="11">
        <f t="shared" si="71"/>
        <v>0</v>
      </c>
      <c r="AM98" s="11"/>
      <c r="AN98" s="11"/>
      <c r="AO98" s="11"/>
      <c r="AP98" s="11"/>
      <c r="AQ98" s="11"/>
      <c r="AR98" s="11"/>
      <c r="AS98" s="11"/>
      <c r="AT98" s="11"/>
      <c r="AU98" s="11"/>
      <c r="AV98" s="11">
        <f>F98</f>
        <v>2300</v>
      </c>
      <c r="AW98" s="208">
        <f>AV98</f>
        <v>2300</v>
      </c>
      <c r="AX98" s="208">
        <f>AW98</f>
        <v>2300</v>
      </c>
      <c r="AY98" s="208"/>
      <c r="AZ98" s="208"/>
      <c r="BA98" s="208"/>
      <c r="BB98" s="208"/>
      <c r="BC98" s="208"/>
      <c r="BD98" s="208"/>
      <c r="BE98" s="208"/>
      <c r="BF98" s="208"/>
      <c r="BG98" s="208"/>
      <c r="BH98" s="208"/>
      <c r="BI98" s="208"/>
    </row>
    <row r="99" spans="1:120" x14ac:dyDescent="0.3">
      <c r="A99">
        <v>96</v>
      </c>
      <c r="B99" s="14">
        <v>45638</v>
      </c>
      <c r="C99" t="s">
        <v>220</v>
      </c>
      <c r="D99" t="s">
        <v>197</v>
      </c>
      <c r="E99" s="9">
        <v>8250</v>
      </c>
      <c r="F99" s="19">
        <f>E99/12</f>
        <v>687.5</v>
      </c>
      <c r="G99" s="14">
        <v>45991</v>
      </c>
      <c r="H99" s="11">
        <f t="shared" si="71"/>
        <v>0</v>
      </c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208">
        <f>F99</f>
        <v>687.5</v>
      </c>
      <c r="AX99" s="208">
        <f>AW99</f>
        <v>687.5</v>
      </c>
      <c r="AY99" s="208">
        <f t="shared" ref="AY99:BN101" si="94">AX99</f>
        <v>687.5</v>
      </c>
      <c r="AZ99" s="208">
        <f t="shared" si="94"/>
        <v>687.5</v>
      </c>
      <c r="BA99" s="208">
        <f t="shared" si="94"/>
        <v>687.5</v>
      </c>
      <c r="BB99" s="208">
        <f t="shared" si="94"/>
        <v>687.5</v>
      </c>
      <c r="BC99" s="208">
        <f t="shared" si="94"/>
        <v>687.5</v>
      </c>
      <c r="BD99" s="208">
        <f t="shared" si="94"/>
        <v>687.5</v>
      </c>
      <c r="BE99" s="208">
        <f t="shared" si="94"/>
        <v>687.5</v>
      </c>
      <c r="BF99" s="208">
        <f t="shared" si="94"/>
        <v>687.5</v>
      </c>
      <c r="BG99" s="208">
        <f t="shared" si="94"/>
        <v>687.5</v>
      </c>
      <c r="BH99" s="208">
        <f t="shared" si="94"/>
        <v>687.5</v>
      </c>
      <c r="BI99" s="208"/>
    </row>
    <row r="100" spans="1:120" x14ac:dyDescent="0.3">
      <c r="A100">
        <v>97</v>
      </c>
      <c r="B100" s="14">
        <v>45638</v>
      </c>
      <c r="C100" t="s">
        <v>221</v>
      </c>
      <c r="D100" t="s">
        <v>197</v>
      </c>
      <c r="E100" s="9">
        <v>11000</v>
      </c>
      <c r="F100" s="19">
        <f>E100/12</f>
        <v>916.66666666666663</v>
      </c>
      <c r="G100" s="14">
        <v>45991</v>
      </c>
      <c r="H100" s="11">
        <f t="shared" si="71"/>
        <v>0</v>
      </c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208">
        <f>F100</f>
        <v>916.66666666666663</v>
      </c>
      <c r="AX100" s="208">
        <f>F100</f>
        <v>916.66666666666663</v>
      </c>
      <c r="AY100" s="208">
        <f>AX100</f>
        <v>916.66666666666663</v>
      </c>
      <c r="AZ100" s="208">
        <f t="shared" si="94"/>
        <v>916.66666666666663</v>
      </c>
      <c r="BA100" s="208">
        <f t="shared" si="94"/>
        <v>916.66666666666663</v>
      </c>
      <c r="BB100" s="208">
        <f t="shared" si="94"/>
        <v>916.66666666666663</v>
      </c>
      <c r="BC100" s="208">
        <f t="shared" si="94"/>
        <v>916.66666666666663</v>
      </c>
      <c r="BD100" s="208">
        <f t="shared" si="94"/>
        <v>916.66666666666663</v>
      </c>
      <c r="BE100" s="208">
        <f t="shared" si="94"/>
        <v>916.66666666666663</v>
      </c>
      <c r="BF100" s="208">
        <f t="shared" si="94"/>
        <v>916.66666666666663</v>
      </c>
      <c r="BG100" s="208">
        <f t="shared" si="94"/>
        <v>916.66666666666663</v>
      </c>
      <c r="BH100" s="208">
        <f t="shared" si="94"/>
        <v>916.66666666666663</v>
      </c>
      <c r="BI100" s="208"/>
    </row>
    <row r="101" spans="1:120" x14ac:dyDescent="0.3">
      <c r="A101">
        <v>98</v>
      </c>
      <c r="B101" s="14">
        <v>45650</v>
      </c>
      <c r="C101" t="s">
        <v>237</v>
      </c>
      <c r="D101" t="s">
        <v>117</v>
      </c>
      <c r="E101" s="9">
        <v>-8000</v>
      </c>
      <c r="F101" s="19">
        <f>E101/48</f>
        <v>-166.66666666666666</v>
      </c>
      <c r="G101" s="14"/>
      <c r="H101" s="11">
        <f t="shared" si="71"/>
        <v>0</v>
      </c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208">
        <f>F101</f>
        <v>-166.66666666666666</v>
      </c>
      <c r="AX101" s="208">
        <f>AW101</f>
        <v>-166.66666666666666</v>
      </c>
      <c r="AY101" s="208">
        <f t="shared" ref="AY101" si="95">AX101</f>
        <v>-166.66666666666666</v>
      </c>
      <c r="AZ101" s="208">
        <f t="shared" si="94"/>
        <v>-166.66666666666666</v>
      </c>
      <c r="BA101" s="208">
        <f t="shared" si="94"/>
        <v>-166.66666666666666</v>
      </c>
      <c r="BB101" s="208">
        <f t="shared" si="94"/>
        <v>-166.66666666666666</v>
      </c>
      <c r="BC101" s="208">
        <f t="shared" si="94"/>
        <v>-166.66666666666666</v>
      </c>
      <c r="BD101" s="208">
        <f t="shared" si="94"/>
        <v>-166.66666666666666</v>
      </c>
      <c r="BE101" s="208">
        <f t="shared" si="94"/>
        <v>-166.66666666666666</v>
      </c>
      <c r="BF101" s="208">
        <f t="shared" si="94"/>
        <v>-166.66666666666666</v>
      </c>
      <c r="BG101" s="208">
        <f t="shared" si="94"/>
        <v>-166.66666666666666</v>
      </c>
      <c r="BH101" s="208">
        <f t="shared" si="94"/>
        <v>-166.66666666666666</v>
      </c>
      <c r="BI101" s="208">
        <f t="shared" si="94"/>
        <v>-166.66666666666666</v>
      </c>
      <c r="BJ101" s="11">
        <f t="shared" si="94"/>
        <v>-166.66666666666666</v>
      </c>
      <c r="BK101" s="11">
        <f t="shared" si="94"/>
        <v>-166.66666666666666</v>
      </c>
      <c r="BL101" s="11">
        <f t="shared" si="94"/>
        <v>-166.66666666666666</v>
      </c>
      <c r="BM101" s="11">
        <f t="shared" si="94"/>
        <v>-166.66666666666666</v>
      </c>
      <c r="BN101" s="11">
        <f t="shared" si="94"/>
        <v>-166.66666666666666</v>
      </c>
      <c r="BO101" s="11">
        <f t="shared" ref="BO101:CR101" si="96">BN101</f>
        <v>-166.66666666666666</v>
      </c>
      <c r="BP101" s="11">
        <f t="shared" si="96"/>
        <v>-166.66666666666666</v>
      </c>
      <c r="BQ101" s="11">
        <f t="shared" si="96"/>
        <v>-166.66666666666666</v>
      </c>
      <c r="BR101" s="11">
        <f t="shared" si="96"/>
        <v>-166.66666666666666</v>
      </c>
      <c r="BS101" s="11">
        <f t="shared" si="96"/>
        <v>-166.66666666666666</v>
      </c>
      <c r="BT101" s="11">
        <f t="shared" si="96"/>
        <v>-166.66666666666666</v>
      </c>
      <c r="BU101" s="11">
        <f t="shared" si="96"/>
        <v>-166.66666666666666</v>
      </c>
      <c r="BV101" s="11">
        <f t="shared" si="96"/>
        <v>-166.66666666666666</v>
      </c>
      <c r="BW101" s="11">
        <f t="shared" si="96"/>
        <v>-166.66666666666666</v>
      </c>
      <c r="BX101" s="11">
        <f t="shared" si="96"/>
        <v>-166.66666666666666</v>
      </c>
      <c r="BY101" s="11">
        <f t="shared" si="96"/>
        <v>-166.66666666666666</v>
      </c>
      <c r="BZ101" s="11">
        <f t="shared" si="96"/>
        <v>-166.66666666666666</v>
      </c>
      <c r="CA101" s="11">
        <f t="shared" si="96"/>
        <v>-166.66666666666666</v>
      </c>
      <c r="CB101" s="11">
        <f t="shared" si="96"/>
        <v>-166.66666666666666</v>
      </c>
      <c r="CC101" s="11">
        <f t="shared" si="96"/>
        <v>-166.66666666666666</v>
      </c>
      <c r="CD101" s="11">
        <f t="shared" si="96"/>
        <v>-166.66666666666666</v>
      </c>
      <c r="CE101" s="11">
        <f t="shared" si="96"/>
        <v>-166.66666666666666</v>
      </c>
      <c r="CF101" s="11">
        <f t="shared" si="96"/>
        <v>-166.66666666666666</v>
      </c>
      <c r="CG101" s="11">
        <f t="shared" si="96"/>
        <v>-166.66666666666666</v>
      </c>
      <c r="CH101" s="11">
        <f t="shared" si="96"/>
        <v>-166.66666666666666</v>
      </c>
      <c r="CI101" s="11">
        <f t="shared" si="96"/>
        <v>-166.66666666666666</v>
      </c>
      <c r="CJ101" s="11">
        <f t="shared" si="96"/>
        <v>-166.66666666666666</v>
      </c>
      <c r="CK101" s="11">
        <f t="shared" si="96"/>
        <v>-166.66666666666666</v>
      </c>
      <c r="CL101" s="11">
        <f t="shared" si="96"/>
        <v>-166.66666666666666</v>
      </c>
      <c r="CM101" s="11">
        <f t="shared" si="96"/>
        <v>-166.66666666666666</v>
      </c>
      <c r="CN101" s="11">
        <f t="shared" si="96"/>
        <v>-166.66666666666666</v>
      </c>
      <c r="CO101" s="11">
        <f t="shared" si="96"/>
        <v>-166.66666666666666</v>
      </c>
      <c r="CP101" s="11">
        <f t="shared" si="96"/>
        <v>-166.66666666666666</v>
      </c>
      <c r="CQ101" s="11">
        <f t="shared" si="96"/>
        <v>-166.66666666666666</v>
      </c>
      <c r="CR101" s="11">
        <f t="shared" si="96"/>
        <v>-166.66666666666666</v>
      </c>
    </row>
    <row r="102" spans="1:120" x14ac:dyDescent="0.3">
      <c r="A102">
        <v>99</v>
      </c>
      <c r="B102" s="14">
        <v>45688</v>
      </c>
      <c r="C102" t="s">
        <v>199</v>
      </c>
      <c r="D102" t="s">
        <v>197</v>
      </c>
      <c r="E102" s="9">
        <v>1000</v>
      </c>
      <c r="F102" s="19">
        <f>E102</f>
        <v>1000</v>
      </c>
      <c r="G102" s="14">
        <v>45716</v>
      </c>
      <c r="H102" s="11">
        <f t="shared" si="71"/>
        <v>0</v>
      </c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208"/>
      <c r="AX102" s="208"/>
      <c r="AY102" s="208">
        <f>E102</f>
        <v>1000</v>
      </c>
      <c r="AZ102" s="208"/>
      <c r="BA102" s="208"/>
      <c r="BB102" s="208"/>
      <c r="BC102" s="208"/>
      <c r="BD102" s="208"/>
      <c r="BE102" s="208"/>
      <c r="BF102" s="208"/>
      <c r="BG102" s="208"/>
      <c r="BH102" s="208"/>
      <c r="BI102" s="208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</row>
    <row r="103" spans="1:120" x14ac:dyDescent="0.3">
      <c r="A103">
        <v>100</v>
      </c>
      <c r="B103" s="14">
        <v>45674</v>
      </c>
      <c r="C103" t="s">
        <v>345</v>
      </c>
      <c r="D103" t="s">
        <v>197</v>
      </c>
      <c r="E103" s="9">
        <v>6000</v>
      </c>
      <c r="F103" s="19">
        <f>E103/3</f>
        <v>2000</v>
      </c>
      <c r="G103" s="14">
        <v>45747</v>
      </c>
      <c r="H103" s="11">
        <f t="shared" si="71"/>
        <v>0</v>
      </c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208"/>
      <c r="AX103" s="208">
        <f>F103</f>
        <v>2000</v>
      </c>
      <c r="AY103" s="208">
        <f>AX103</f>
        <v>2000</v>
      </c>
      <c r="AZ103" s="208">
        <f>AY103</f>
        <v>2000</v>
      </c>
      <c r="BA103" s="208"/>
      <c r="BB103" s="208"/>
      <c r="BC103" s="208"/>
      <c r="BD103" s="208"/>
      <c r="BE103" s="208"/>
      <c r="BF103" s="208"/>
      <c r="BG103" s="208"/>
      <c r="BH103" s="208"/>
      <c r="BI103" s="208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</row>
    <row r="104" spans="1:120" x14ac:dyDescent="0.3">
      <c r="A104">
        <v>101</v>
      </c>
      <c r="B104" s="14">
        <v>45716</v>
      </c>
      <c r="C104" t="s">
        <v>199</v>
      </c>
      <c r="D104" t="s">
        <v>197</v>
      </c>
      <c r="E104" s="9">
        <v>1000</v>
      </c>
      <c r="F104" s="19">
        <v>1000</v>
      </c>
      <c r="G104" s="14">
        <v>45747</v>
      </c>
      <c r="H104" s="11">
        <f t="shared" si="71"/>
        <v>0</v>
      </c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208"/>
      <c r="AX104" s="208"/>
      <c r="AY104" s="208"/>
      <c r="AZ104" s="208">
        <f>F104</f>
        <v>1000</v>
      </c>
      <c r="BA104" s="208"/>
      <c r="BB104" s="208"/>
      <c r="BC104" s="208"/>
      <c r="BD104" s="208"/>
      <c r="BE104" s="208"/>
      <c r="BF104" s="208"/>
      <c r="BG104" s="208"/>
      <c r="BH104" s="208"/>
      <c r="BI104" s="208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</row>
    <row r="105" spans="1:120" x14ac:dyDescent="0.3">
      <c r="A105">
        <v>102</v>
      </c>
      <c r="B105" s="14">
        <v>45741</v>
      </c>
      <c r="C105" t="s">
        <v>352</v>
      </c>
      <c r="D105" t="s">
        <v>197</v>
      </c>
      <c r="E105" s="9">
        <f>3495</f>
        <v>3495</v>
      </c>
      <c r="F105" s="19">
        <f>E105/3</f>
        <v>1165</v>
      </c>
      <c r="G105" s="14">
        <v>45808</v>
      </c>
      <c r="H105" s="11">
        <f t="shared" si="71"/>
        <v>0</v>
      </c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208"/>
      <c r="AX105" s="208"/>
      <c r="AY105" s="208"/>
      <c r="AZ105" s="208">
        <f>F105</f>
        <v>1165</v>
      </c>
      <c r="BA105" s="208">
        <f>AZ105</f>
        <v>1165</v>
      </c>
      <c r="BB105" s="208">
        <f>BA105</f>
        <v>1165</v>
      </c>
      <c r="BC105" s="208"/>
      <c r="BD105" s="208"/>
      <c r="BE105" s="208"/>
      <c r="BF105" s="208"/>
      <c r="BG105" s="208"/>
      <c r="BH105" s="208"/>
      <c r="BI105" s="208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</row>
    <row r="106" spans="1:120" x14ac:dyDescent="0.3">
      <c r="A106">
        <v>103</v>
      </c>
      <c r="B106" s="14">
        <v>45740</v>
      </c>
      <c r="C106" t="s">
        <v>242</v>
      </c>
      <c r="D106" t="s">
        <v>197</v>
      </c>
      <c r="E106" s="9">
        <v>11000</v>
      </c>
      <c r="F106" s="19">
        <f>E106/12</f>
        <v>916.66666666666663</v>
      </c>
      <c r="G106" s="14">
        <v>46081</v>
      </c>
      <c r="H106" s="11">
        <f t="shared" si="71"/>
        <v>0</v>
      </c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208"/>
      <c r="AX106" s="208"/>
      <c r="AY106" s="208"/>
      <c r="AZ106" s="208">
        <f>F106</f>
        <v>916.66666666666663</v>
      </c>
      <c r="BA106" s="208">
        <f>AZ106</f>
        <v>916.66666666666663</v>
      </c>
      <c r="BB106" s="208">
        <f t="shared" ref="BB106:BJ106" si="97">BA106</f>
        <v>916.66666666666663</v>
      </c>
      <c r="BC106" s="208">
        <f t="shared" si="97"/>
        <v>916.66666666666663</v>
      </c>
      <c r="BD106" s="208">
        <f t="shared" si="97"/>
        <v>916.66666666666663</v>
      </c>
      <c r="BE106" s="208">
        <f t="shared" si="97"/>
        <v>916.66666666666663</v>
      </c>
      <c r="BF106" s="208">
        <f t="shared" si="97"/>
        <v>916.66666666666663</v>
      </c>
      <c r="BG106" s="208">
        <f t="shared" si="97"/>
        <v>916.66666666666663</v>
      </c>
      <c r="BH106" s="208">
        <f t="shared" si="97"/>
        <v>916.66666666666663</v>
      </c>
      <c r="BI106" s="208">
        <f t="shared" si="97"/>
        <v>916.66666666666663</v>
      </c>
      <c r="BJ106" s="11">
        <f t="shared" si="97"/>
        <v>916.66666666666663</v>
      </c>
      <c r="BK106" s="11">
        <f>BJ106</f>
        <v>916.66666666666663</v>
      </c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</row>
    <row r="107" spans="1:120" x14ac:dyDescent="0.3">
      <c r="A107">
        <v>104</v>
      </c>
      <c r="B107" s="14">
        <v>45749</v>
      </c>
      <c r="C107" t="s">
        <v>352</v>
      </c>
      <c r="D107" t="s">
        <v>197</v>
      </c>
      <c r="F107" s="19">
        <f>E107/3</f>
        <v>0</v>
      </c>
      <c r="G107" s="14">
        <v>47542</v>
      </c>
      <c r="H107" s="11">
        <f t="shared" si="71"/>
        <v>0</v>
      </c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208"/>
      <c r="AX107" s="208"/>
      <c r="AY107" s="208"/>
      <c r="AZ107" s="208"/>
      <c r="BA107" s="208"/>
      <c r="BB107" s="208"/>
      <c r="BC107" s="208"/>
      <c r="BD107" s="208">
        <f>F107</f>
        <v>0</v>
      </c>
      <c r="BE107" s="208">
        <f>BD107</f>
        <v>0</v>
      </c>
      <c r="BF107" s="208">
        <f>BE107</f>
        <v>0</v>
      </c>
      <c r="BG107" s="208"/>
      <c r="BH107" s="208"/>
      <c r="BI107" s="208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</row>
    <row r="108" spans="1:120" x14ac:dyDescent="0.3">
      <c r="A108">
        <v>105</v>
      </c>
      <c r="B108" s="14">
        <v>45757</v>
      </c>
      <c r="C108" t="s">
        <v>387</v>
      </c>
      <c r="D108" t="s">
        <v>117</v>
      </c>
      <c r="E108" s="9">
        <v>11500</v>
      </c>
      <c r="F108" s="19">
        <f>E108/60</f>
        <v>191.66666666666666</v>
      </c>
      <c r="G108" s="14">
        <v>47573</v>
      </c>
      <c r="H108" s="11">
        <f t="shared" si="71"/>
        <v>0</v>
      </c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208"/>
      <c r="AX108" s="208"/>
      <c r="AY108" s="208"/>
      <c r="AZ108" s="208"/>
      <c r="BA108" s="208">
        <f>F108</f>
        <v>191.66666666666666</v>
      </c>
      <c r="BB108" s="208">
        <f>BA108</f>
        <v>191.66666666666666</v>
      </c>
      <c r="BC108" s="208">
        <f t="shared" ref="BC108:DH109" si="98">BB108</f>
        <v>191.66666666666666</v>
      </c>
      <c r="BD108" s="208">
        <f t="shared" si="98"/>
        <v>191.66666666666666</v>
      </c>
      <c r="BE108" s="208">
        <f t="shared" si="98"/>
        <v>191.66666666666666</v>
      </c>
      <c r="BF108" s="208">
        <f t="shared" si="98"/>
        <v>191.66666666666666</v>
      </c>
      <c r="BG108" s="208">
        <f t="shared" si="98"/>
        <v>191.66666666666666</v>
      </c>
      <c r="BH108" s="208">
        <f t="shared" si="98"/>
        <v>191.66666666666666</v>
      </c>
      <c r="BI108" s="208">
        <f t="shared" si="98"/>
        <v>191.66666666666666</v>
      </c>
      <c r="BJ108" s="11">
        <f t="shared" si="98"/>
        <v>191.66666666666666</v>
      </c>
      <c r="BK108" s="11">
        <f t="shared" si="98"/>
        <v>191.66666666666666</v>
      </c>
      <c r="BL108" s="11">
        <f t="shared" si="98"/>
        <v>191.66666666666666</v>
      </c>
      <c r="BM108" s="11">
        <f t="shared" si="98"/>
        <v>191.66666666666666</v>
      </c>
      <c r="BN108" s="11">
        <f t="shared" si="98"/>
        <v>191.66666666666666</v>
      </c>
      <c r="BO108" s="11">
        <f t="shared" si="98"/>
        <v>191.66666666666666</v>
      </c>
      <c r="BP108" s="11">
        <f t="shared" si="98"/>
        <v>191.66666666666666</v>
      </c>
      <c r="BQ108" s="11">
        <f t="shared" si="98"/>
        <v>191.66666666666666</v>
      </c>
      <c r="BR108" s="11">
        <f t="shared" si="98"/>
        <v>191.66666666666666</v>
      </c>
      <c r="BS108" s="11">
        <f t="shared" si="98"/>
        <v>191.66666666666666</v>
      </c>
      <c r="BT108" s="11">
        <f t="shared" si="98"/>
        <v>191.66666666666666</v>
      </c>
      <c r="BU108" s="11">
        <f t="shared" si="98"/>
        <v>191.66666666666666</v>
      </c>
      <c r="BV108" s="11">
        <f t="shared" si="98"/>
        <v>191.66666666666666</v>
      </c>
      <c r="BW108" s="11">
        <f t="shared" si="98"/>
        <v>191.66666666666666</v>
      </c>
      <c r="BX108" s="11">
        <f t="shared" si="98"/>
        <v>191.66666666666666</v>
      </c>
      <c r="BY108" s="11">
        <f t="shared" si="98"/>
        <v>191.66666666666666</v>
      </c>
      <c r="BZ108" s="11">
        <f t="shared" si="98"/>
        <v>191.66666666666666</v>
      </c>
      <c r="CA108" s="11">
        <f t="shared" si="98"/>
        <v>191.66666666666666</v>
      </c>
      <c r="CB108" s="11">
        <f t="shared" si="98"/>
        <v>191.66666666666666</v>
      </c>
      <c r="CC108" s="11">
        <f t="shared" si="98"/>
        <v>191.66666666666666</v>
      </c>
      <c r="CD108" s="11">
        <f t="shared" si="98"/>
        <v>191.66666666666666</v>
      </c>
      <c r="CE108" s="11">
        <f t="shared" si="98"/>
        <v>191.66666666666666</v>
      </c>
      <c r="CF108" s="11">
        <f t="shared" si="98"/>
        <v>191.66666666666666</v>
      </c>
      <c r="CG108" s="11">
        <f t="shared" si="98"/>
        <v>191.66666666666666</v>
      </c>
      <c r="CH108" s="11">
        <f t="shared" si="98"/>
        <v>191.66666666666666</v>
      </c>
      <c r="CI108" s="11">
        <f t="shared" si="98"/>
        <v>191.66666666666666</v>
      </c>
      <c r="CJ108" s="11">
        <f t="shared" si="98"/>
        <v>191.66666666666666</v>
      </c>
      <c r="CK108" s="11">
        <f t="shared" si="98"/>
        <v>191.66666666666666</v>
      </c>
      <c r="CL108" s="11">
        <f t="shared" si="98"/>
        <v>191.66666666666666</v>
      </c>
      <c r="CM108" s="11">
        <f t="shared" si="98"/>
        <v>191.66666666666666</v>
      </c>
      <c r="CN108" s="11">
        <f t="shared" si="98"/>
        <v>191.66666666666666</v>
      </c>
      <c r="CO108" s="11">
        <f t="shared" si="98"/>
        <v>191.66666666666666</v>
      </c>
      <c r="CP108" s="11">
        <f t="shared" si="98"/>
        <v>191.66666666666666</v>
      </c>
      <c r="CQ108" s="11">
        <f t="shared" si="98"/>
        <v>191.66666666666666</v>
      </c>
      <c r="CR108" s="11">
        <f t="shared" si="98"/>
        <v>191.66666666666666</v>
      </c>
      <c r="CS108" s="11">
        <f t="shared" si="98"/>
        <v>191.66666666666666</v>
      </c>
      <c r="CT108" s="11">
        <f t="shared" si="98"/>
        <v>191.66666666666666</v>
      </c>
      <c r="CU108" s="11">
        <f t="shared" si="98"/>
        <v>191.66666666666666</v>
      </c>
      <c r="CV108" s="11">
        <f t="shared" si="98"/>
        <v>191.66666666666666</v>
      </c>
      <c r="CW108" s="11">
        <f t="shared" si="98"/>
        <v>191.66666666666666</v>
      </c>
      <c r="CX108" s="11">
        <f t="shared" si="98"/>
        <v>191.66666666666666</v>
      </c>
      <c r="CY108" s="11">
        <f t="shared" si="98"/>
        <v>191.66666666666666</v>
      </c>
      <c r="CZ108" s="11">
        <f t="shared" si="98"/>
        <v>191.66666666666666</v>
      </c>
      <c r="DA108" s="11">
        <f t="shared" si="98"/>
        <v>191.66666666666666</v>
      </c>
      <c r="DB108" s="11">
        <f t="shared" si="98"/>
        <v>191.66666666666666</v>
      </c>
      <c r="DC108" s="11">
        <f t="shared" si="98"/>
        <v>191.66666666666666</v>
      </c>
      <c r="DD108" s="11">
        <f t="shared" si="98"/>
        <v>191.66666666666666</v>
      </c>
      <c r="DE108" s="11">
        <f t="shared" si="98"/>
        <v>191.66666666666666</v>
      </c>
      <c r="DF108" s="11">
        <f t="shared" si="98"/>
        <v>191.66666666666666</v>
      </c>
      <c r="DG108" s="11">
        <f t="shared" si="98"/>
        <v>191.66666666666666</v>
      </c>
      <c r="DH108" s="11">
        <f t="shared" si="98"/>
        <v>191.66666666666666</v>
      </c>
      <c r="DI108" s="11"/>
      <c r="DJ108" s="11"/>
      <c r="DK108" s="11"/>
      <c r="DL108" s="11"/>
      <c r="DM108" s="11"/>
      <c r="DN108" s="11"/>
      <c r="DO108" s="11"/>
      <c r="DP108" s="11"/>
    </row>
    <row r="109" spans="1:120" x14ac:dyDescent="0.3">
      <c r="A109">
        <v>106</v>
      </c>
      <c r="B109" s="14">
        <v>45757</v>
      </c>
      <c r="C109" t="s">
        <v>388</v>
      </c>
      <c r="D109" t="s">
        <v>117</v>
      </c>
      <c r="E109" s="9">
        <v>11500</v>
      </c>
      <c r="F109" s="19">
        <f>E109/60</f>
        <v>191.66666666666666</v>
      </c>
      <c r="G109" s="14">
        <v>47573</v>
      </c>
      <c r="H109" s="11">
        <f t="shared" si="71"/>
        <v>0</v>
      </c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208"/>
      <c r="AX109" s="208"/>
      <c r="AY109" s="208"/>
      <c r="AZ109" s="208"/>
      <c r="BA109" s="208">
        <f>F109</f>
        <v>191.66666666666666</v>
      </c>
      <c r="BB109" s="208">
        <f>BA109</f>
        <v>191.66666666666666</v>
      </c>
      <c r="BC109" s="208">
        <f t="shared" si="98"/>
        <v>191.66666666666666</v>
      </c>
      <c r="BD109" s="208">
        <f t="shared" si="98"/>
        <v>191.66666666666666</v>
      </c>
      <c r="BE109" s="208">
        <f t="shared" si="98"/>
        <v>191.66666666666666</v>
      </c>
      <c r="BF109" s="208">
        <f t="shared" si="98"/>
        <v>191.66666666666666</v>
      </c>
      <c r="BG109" s="208">
        <f t="shared" si="98"/>
        <v>191.66666666666666</v>
      </c>
      <c r="BH109" s="208">
        <f t="shared" si="98"/>
        <v>191.66666666666666</v>
      </c>
      <c r="BI109" s="208">
        <f t="shared" si="98"/>
        <v>191.66666666666666</v>
      </c>
      <c r="BJ109" s="11">
        <f t="shared" si="98"/>
        <v>191.66666666666666</v>
      </c>
      <c r="BK109" s="11">
        <f t="shared" si="98"/>
        <v>191.66666666666666</v>
      </c>
      <c r="BL109" s="11">
        <f t="shared" si="98"/>
        <v>191.66666666666666</v>
      </c>
      <c r="BM109" s="11">
        <f t="shared" si="98"/>
        <v>191.66666666666666</v>
      </c>
      <c r="BN109" s="11">
        <f t="shared" si="98"/>
        <v>191.66666666666666</v>
      </c>
      <c r="BO109" s="11">
        <f t="shared" si="98"/>
        <v>191.66666666666666</v>
      </c>
      <c r="BP109" s="11">
        <f t="shared" si="98"/>
        <v>191.66666666666666</v>
      </c>
      <c r="BQ109" s="11">
        <f t="shared" si="98"/>
        <v>191.66666666666666</v>
      </c>
      <c r="BR109" s="11">
        <f t="shared" si="98"/>
        <v>191.66666666666666</v>
      </c>
      <c r="BS109" s="11">
        <f t="shared" si="98"/>
        <v>191.66666666666666</v>
      </c>
      <c r="BT109" s="11">
        <f t="shared" si="98"/>
        <v>191.66666666666666</v>
      </c>
      <c r="BU109" s="11">
        <f t="shared" si="98"/>
        <v>191.66666666666666</v>
      </c>
      <c r="BV109" s="11">
        <f t="shared" si="98"/>
        <v>191.66666666666666</v>
      </c>
      <c r="BW109" s="11">
        <f t="shared" si="98"/>
        <v>191.66666666666666</v>
      </c>
      <c r="BX109" s="11">
        <f t="shared" si="98"/>
        <v>191.66666666666666</v>
      </c>
      <c r="BY109" s="11">
        <f t="shared" si="98"/>
        <v>191.66666666666666</v>
      </c>
      <c r="BZ109" s="11">
        <f t="shared" si="98"/>
        <v>191.66666666666666</v>
      </c>
      <c r="CA109" s="11">
        <f t="shared" si="98"/>
        <v>191.66666666666666</v>
      </c>
      <c r="CB109" s="11">
        <f t="shared" si="98"/>
        <v>191.66666666666666</v>
      </c>
      <c r="CC109" s="11">
        <f t="shared" si="98"/>
        <v>191.66666666666666</v>
      </c>
      <c r="CD109" s="11">
        <f t="shared" si="98"/>
        <v>191.66666666666666</v>
      </c>
      <c r="CE109" s="11">
        <f t="shared" si="98"/>
        <v>191.66666666666666</v>
      </c>
      <c r="CF109" s="11">
        <f t="shared" si="98"/>
        <v>191.66666666666666</v>
      </c>
      <c r="CG109" s="11">
        <f t="shared" si="98"/>
        <v>191.66666666666666</v>
      </c>
      <c r="CH109" s="11">
        <f t="shared" si="98"/>
        <v>191.66666666666666</v>
      </c>
      <c r="CI109" s="11">
        <f t="shared" si="98"/>
        <v>191.66666666666666</v>
      </c>
      <c r="CJ109" s="11">
        <f t="shared" si="98"/>
        <v>191.66666666666666</v>
      </c>
      <c r="CK109" s="11">
        <f t="shared" si="98"/>
        <v>191.66666666666666</v>
      </c>
      <c r="CL109" s="11">
        <f t="shared" si="98"/>
        <v>191.66666666666666</v>
      </c>
      <c r="CM109" s="11">
        <f t="shared" si="98"/>
        <v>191.66666666666666</v>
      </c>
      <c r="CN109" s="11">
        <f t="shared" si="98"/>
        <v>191.66666666666666</v>
      </c>
      <c r="CO109" s="11">
        <f t="shared" si="98"/>
        <v>191.66666666666666</v>
      </c>
      <c r="CP109" s="11">
        <f t="shared" si="98"/>
        <v>191.66666666666666</v>
      </c>
      <c r="CQ109" s="11">
        <f t="shared" si="98"/>
        <v>191.66666666666666</v>
      </c>
      <c r="CR109" s="11">
        <f t="shared" si="98"/>
        <v>191.66666666666666</v>
      </c>
      <c r="CS109" s="11">
        <f t="shared" si="98"/>
        <v>191.66666666666666</v>
      </c>
      <c r="CT109" s="11">
        <f t="shared" si="98"/>
        <v>191.66666666666666</v>
      </c>
      <c r="CU109" s="11">
        <f t="shared" si="98"/>
        <v>191.66666666666666</v>
      </c>
      <c r="CV109" s="11">
        <f t="shared" si="98"/>
        <v>191.66666666666666</v>
      </c>
      <c r="CW109" s="11">
        <f t="shared" si="98"/>
        <v>191.66666666666666</v>
      </c>
      <c r="CX109" s="11">
        <f t="shared" si="98"/>
        <v>191.66666666666666</v>
      </c>
      <c r="CY109" s="11">
        <f t="shared" si="98"/>
        <v>191.66666666666666</v>
      </c>
      <c r="CZ109" s="11">
        <f t="shared" si="98"/>
        <v>191.66666666666666</v>
      </c>
      <c r="DA109" s="11">
        <f t="shared" si="98"/>
        <v>191.66666666666666</v>
      </c>
      <c r="DB109" s="11">
        <f t="shared" si="98"/>
        <v>191.66666666666666</v>
      </c>
      <c r="DC109" s="11">
        <f t="shared" si="98"/>
        <v>191.66666666666666</v>
      </c>
      <c r="DD109" s="11">
        <f t="shared" si="98"/>
        <v>191.66666666666666</v>
      </c>
      <c r="DE109" s="11">
        <f t="shared" si="98"/>
        <v>191.66666666666666</v>
      </c>
      <c r="DF109" s="11">
        <f t="shared" si="98"/>
        <v>191.66666666666666</v>
      </c>
      <c r="DG109" s="11">
        <f t="shared" si="98"/>
        <v>191.66666666666666</v>
      </c>
      <c r="DH109" s="11">
        <f t="shared" si="98"/>
        <v>191.66666666666666</v>
      </c>
      <c r="DI109" s="11"/>
      <c r="DJ109" s="11"/>
      <c r="DK109" s="11"/>
      <c r="DL109" s="11"/>
      <c r="DM109" s="11"/>
      <c r="DN109" s="11"/>
      <c r="DO109" s="11"/>
      <c r="DP109" s="11"/>
    </row>
    <row r="110" spans="1:120" x14ac:dyDescent="0.3">
      <c r="A110">
        <v>107</v>
      </c>
      <c r="B110" s="14">
        <v>45757</v>
      </c>
      <c r="C110" t="s">
        <v>358</v>
      </c>
      <c r="D110" t="s">
        <v>197</v>
      </c>
      <c r="E110" s="9">
        <v>5000</v>
      </c>
      <c r="F110" s="19">
        <f>E110/3</f>
        <v>1666.6666666666667</v>
      </c>
      <c r="G110" s="14">
        <v>47573</v>
      </c>
      <c r="H110" s="11">
        <f t="shared" si="71"/>
        <v>0</v>
      </c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208"/>
      <c r="AX110" s="208"/>
      <c r="AY110" s="208"/>
      <c r="AZ110" s="208"/>
      <c r="BA110" s="208">
        <f>F110</f>
        <v>1666.6666666666667</v>
      </c>
      <c r="BB110" s="208">
        <f>BA110</f>
        <v>1666.6666666666667</v>
      </c>
      <c r="BC110" s="208">
        <f>BB110</f>
        <v>1666.6666666666667</v>
      </c>
      <c r="BD110" s="208"/>
      <c r="BE110" s="208"/>
      <c r="BF110" s="208"/>
      <c r="BG110" s="208"/>
      <c r="BH110" s="208"/>
      <c r="BI110" s="208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</row>
    <row r="111" spans="1:120" x14ac:dyDescent="0.3">
      <c r="A111">
        <v>108</v>
      </c>
      <c r="B111" s="14">
        <v>45783</v>
      </c>
      <c r="C111" t="s">
        <v>390</v>
      </c>
      <c r="D111" t="s">
        <v>117</v>
      </c>
      <c r="E111" s="9">
        <v>12250</v>
      </c>
      <c r="F111" s="19">
        <f>E111/60</f>
        <v>204.16666666666666</v>
      </c>
      <c r="G111" s="14">
        <v>47603</v>
      </c>
      <c r="H111" s="11">
        <f t="shared" si="71"/>
        <v>0</v>
      </c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208"/>
      <c r="AX111" s="208"/>
      <c r="AY111" s="208"/>
      <c r="AZ111" s="208"/>
      <c r="BA111" s="208"/>
      <c r="BB111" s="208">
        <f>F111</f>
        <v>204.16666666666666</v>
      </c>
      <c r="BC111" s="208">
        <f>BB111</f>
        <v>204.16666666666666</v>
      </c>
      <c r="BD111" s="208">
        <f t="shared" ref="BD111:DI115" si="99">BC111</f>
        <v>204.16666666666666</v>
      </c>
      <c r="BE111" s="208">
        <f t="shared" si="99"/>
        <v>204.16666666666666</v>
      </c>
      <c r="BF111" s="208">
        <f t="shared" si="99"/>
        <v>204.16666666666666</v>
      </c>
      <c r="BG111" s="208">
        <f t="shared" si="99"/>
        <v>204.16666666666666</v>
      </c>
      <c r="BH111" s="208">
        <f t="shared" si="99"/>
        <v>204.16666666666666</v>
      </c>
      <c r="BI111" s="208">
        <f t="shared" si="99"/>
        <v>204.16666666666666</v>
      </c>
      <c r="BJ111" s="11">
        <f t="shared" si="99"/>
        <v>204.16666666666666</v>
      </c>
      <c r="BK111" s="11">
        <f t="shared" si="99"/>
        <v>204.16666666666666</v>
      </c>
      <c r="BL111" s="11">
        <f t="shared" si="99"/>
        <v>204.16666666666666</v>
      </c>
      <c r="BM111" s="11">
        <f t="shared" si="99"/>
        <v>204.16666666666666</v>
      </c>
      <c r="BN111" s="11">
        <f t="shared" si="99"/>
        <v>204.16666666666666</v>
      </c>
      <c r="BO111" s="11">
        <f t="shared" si="99"/>
        <v>204.16666666666666</v>
      </c>
      <c r="BP111" s="11">
        <f t="shared" si="99"/>
        <v>204.16666666666666</v>
      </c>
      <c r="BQ111" s="11">
        <f t="shared" si="99"/>
        <v>204.16666666666666</v>
      </c>
      <c r="BR111" s="11">
        <f t="shared" si="99"/>
        <v>204.16666666666666</v>
      </c>
      <c r="BS111" s="11">
        <f t="shared" si="99"/>
        <v>204.16666666666666</v>
      </c>
      <c r="BT111" s="11">
        <f t="shared" si="99"/>
        <v>204.16666666666666</v>
      </c>
      <c r="BU111" s="11">
        <f t="shared" si="99"/>
        <v>204.16666666666666</v>
      </c>
      <c r="BV111" s="11">
        <f t="shared" si="99"/>
        <v>204.16666666666666</v>
      </c>
      <c r="BW111" s="11">
        <f t="shared" si="99"/>
        <v>204.16666666666666</v>
      </c>
      <c r="BX111" s="11">
        <f t="shared" si="99"/>
        <v>204.16666666666666</v>
      </c>
      <c r="BY111" s="11">
        <f t="shared" si="99"/>
        <v>204.16666666666666</v>
      </c>
      <c r="BZ111" s="11">
        <f t="shared" si="99"/>
        <v>204.16666666666666</v>
      </c>
      <c r="CA111" s="11">
        <f t="shared" si="99"/>
        <v>204.16666666666666</v>
      </c>
      <c r="CB111" s="11">
        <f t="shared" si="99"/>
        <v>204.16666666666666</v>
      </c>
      <c r="CC111" s="11">
        <f t="shared" si="99"/>
        <v>204.16666666666666</v>
      </c>
      <c r="CD111" s="11">
        <f t="shared" si="99"/>
        <v>204.16666666666666</v>
      </c>
      <c r="CE111" s="11">
        <f t="shared" si="99"/>
        <v>204.16666666666666</v>
      </c>
      <c r="CF111" s="11">
        <f t="shared" si="99"/>
        <v>204.16666666666666</v>
      </c>
      <c r="CG111" s="11">
        <f t="shared" si="99"/>
        <v>204.16666666666666</v>
      </c>
      <c r="CH111" s="11">
        <f t="shared" si="99"/>
        <v>204.16666666666666</v>
      </c>
      <c r="CI111" s="11">
        <f t="shared" si="99"/>
        <v>204.16666666666666</v>
      </c>
      <c r="CJ111" s="11">
        <f t="shared" si="99"/>
        <v>204.16666666666666</v>
      </c>
      <c r="CK111" s="11">
        <f t="shared" si="99"/>
        <v>204.16666666666666</v>
      </c>
      <c r="CL111" s="11">
        <f t="shared" si="99"/>
        <v>204.16666666666666</v>
      </c>
      <c r="CM111" s="11">
        <f t="shared" si="99"/>
        <v>204.16666666666666</v>
      </c>
      <c r="CN111" s="11">
        <f t="shared" si="99"/>
        <v>204.16666666666666</v>
      </c>
      <c r="CO111" s="11">
        <f t="shared" si="99"/>
        <v>204.16666666666666</v>
      </c>
      <c r="CP111" s="11">
        <f t="shared" si="99"/>
        <v>204.16666666666666</v>
      </c>
      <c r="CQ111" s="11">
        <f t="shared" si="99"/>
        <v>204.16666666666666</v>
      </c>
      <c r="CR111" s="11">
        <f t="shared" si="99"/>
        <v>204.16666666666666</v>
      </c>
      <c r="CS111" s="11">
        <f t="shared" si="99"/>
        <v>204.16666666666666</v>
      </c>
      <c r="CT111" s="11">
        <f t="shared" si="99"/>
        <v>204.16666666666666</v>
      </c>
      <c r="CU111" s="11">
        <f t="shared" si="99"/>
        <v>204.16666666666666</v>
      </c>
      <c r="CV111" s="11">
        <f t="shared" si="99"/>
        <v>204.16666666666666</v>
      </c>
      <c r="CW111" s="11">
        <f t="shared" si="99"/>
        <v>204.16666666666666</v>
      </c>
      <c r="CX111" s="11">
        <f t="shared" si="99"/>
        <v>204.16666666666666</v>
      </c>
      <c r="CY111" s="11">
        <f t="shared" si="99"/>
        <v>204.16666666666666</v>
      </c>
      <c r="CZ111" s="11">
        <f t="shared" si="99"/>
        <v>204.16666666666666</v>
      </c>
      <c r="DA111" s="11">
        <f t="shared" si="99"/>
        <v>204.16666666666666</v>
      </c>
      <c r="DB111" s="11">
        <f t="shared" si="99"/>
        <v>204.16666666666666</v>
      </c>
      <c r="DC111" s="11">
        <f t="shared" si="99"/>
        <v>204.16666666666666</v>
      </c>
      <c r="DD111" s="11">
        <f t="shared" si="99"/>
        <v>204.16666666666666</v>
      </c>
      <c r="DE111" s="11">
        <f t="shared" si="99"/>
        <v>204.16666666666666</v>
      </c>
      <c r="DF111" s="11">
        <f t="shared" si="99"/>
        <v>204.16666666666666</v>
      </c>
      <c r="DG111" s="11">
        <f t="shared" si="99"/>
        <v>204.16666666666666</v>
      </c>
      <c r="DH111" s="11">
        <f t="shared" si="99"/>
        <v>204.16666666666666</v>
      </c>
      <c r="DI111" s="11">
        <f t="shared" si="99"/>
        <v>204.16666666666666</v>
      </c>
      <c r="DJ111" s="11"/>
      <c r="DK111" s="11"/>
      <c r="DL111" s="11"/>
      <c r="DM111" s="11"/>
      <c r="DN111" s="11"/>
      <c r="DO111" s="11"/>
      <c r="DP111" s="11"/>
    </row>
    <row r="112" spans="1:120" x14ac:dyDescent="0.3">
      <c r="A112">
        <v>109</v>
      </c>
      <c r="B112" s="14">
        <v>45784</v>
      </c>
      <c r="C112" t="s">
        <v>391</v>
      </c>
      <c r="D112" t="s">
        <v>197</v>
      </c>
      <c r="E112" s="9">
        <v>9350</v>
      </c>
      <c r="F112" s="19">
        <f>E112/12</f>
        <v>779.16666666666663</v>
      </c>
      <c r="G112" s="14">
        <v>46142</v>
      </c>
      <c r="H112" s="11">
        <f t="shared" si="71"/>
        <v>0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208"/>
      <c r="AX112" s="208"/>
      <c r="AY112" s="208"/>
      <c r="AZ112" s="208"/>
      <c r="BA112" s="208"/>
      <c r="BB112" s="208">
        <f>F112</f>
        <v>779.16666666666663</v>
      </c>
      <c r="BC112" s="208">
        <f>BB112</f>
        <v>779.16666666666663</v>
      </c>
      <c r="BD112" s="208">
        <f t="shared" si="99"/>
        <v>779.16666666666663</v>
      </c>
      <c r="BE112" s="208">
        <f t="shared" si="99"/>
        <v>779.16666666666663</v>
      </c>
      <c r="BF112" s="208">
        <f t="shared" si="99"/>
        <v>779.16666666666663</v>
      </c>
      <c r="BG112" s="208">
        <f t="shared" si="99"/>
        <v>779.16666666666663</v>
      </c>
      <c r="BH112" s="208">
        <f t="shared" si="99"/>
        <v>779.16666666666663</v>
      </c>
      <c r="BI112" s="208">
        <f t="shared" si="99"/>
        <v>779.16666666666663</v>
      </c>
      <c r="BJ112" s="11">
        <f t="shared" si="99"/>
        <v>779.16666666666663</v>
      </c>
      <c r="BK112" s="11">
        <f t="shared" si="99"/>
        <v>779.16666666666663</v>
      </c>
      <c r="BL112" s="11">
        <f t="shared" si="99"/>
        <v>779.16666666666663</v>
      </c>
      <c r="BM112" s="11">
        <f t="shared" si="99"/>
        <v>779.16666666666663</v>
      </c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</row>
    <row r="113" spans="1:120" x14ac:dyDescent="0.3">
      <c r="A113">
        <v>110</v>
      </c>
      <c r="B113" s="14">
        <v>45783</v>
      </c>
      <c r="C113" t="s">
        <v>392</v>
      </c>
      <c r="D113" t="s">
        <v>117</v>
      </c>
      <c r="E113" s="9">
        <v>12000</v>
      </c>
      <c r="F113" s="19">
        <f>E113/60</f>
        <v>200</v>
      </c>
      <c r="G113" s="14">
        <v>47603</v>
      </c>
      <c r="H113" s="11">
        <f t="shared" si="71"/>
        <v>0</v>
      </c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208"/>
      <c r="AX113" s="208"/>
      <c r="AY113" s="208"/>
      <c r="AZ113" s="208"/>
      <c r="BA113" s="208"/>
      <c r="BB113" s="208">
        <f>F113</f>
        <v>200</v>
      </c>
      <c r="BC113" s="208">
        <f>BB113</f>
        <v>200</v>
      </c>
      <c r="BD113" s="208">
        <f t="shared" si="99"/>
        <v>200</v>
      </c>
      <c r="BE113" s="208">
        <f t="shared" si="99"/>
        <v>200</v>
      </c>
      <c r="BF113" s="208">
        <f t="shared" si="99"/>
        <v>200</v>
      </c>
      <c r="BG113" s="208">
        <f t="shared" si="99"/>
        <v>200</v>
      </c>
      <c r="BH113" s="208">
        <f t="shared" si="99"/>
        <v>200</v>
      </c>
      <c r="BI113" s="208">
        <f t="shared" si="99"/>
        <v>200</v>
      </c>
      <c r="BJ113" s="11">
        <f t="shared" si="99"/>
        <v>200</v>
      </c>
      <c r="BK113" s="11">
        <f t="shared" si="99"/>
        <v>200</v>
      </c>
      <c r="BL113" s="11">
        <f t="shared" si="99"/>
        <v>200</v>
      </c>
      <c r="BM113" s="11">
        <f t="shared" si="99"/>
        <v>200</v>
      </c>
      <c r="BN113" s="11">
        <f t="shared" si="99"/>
        <v>200</v>
      </c>
      <c r="BO113" s="11">
        <f t="shared" si="99"/>
        <v>200</v>
      </c>
      <c r="BP113" s="11">
        <f t="shared" si="99"/>
        <v>200</v>
      </c>
      <c r="BQ113" s="11">
        <f t="shared" si="99"/>
        <v>200</v>
      </c>
      <c r="BR113" s="11">
        <f t="shared" si="99"/>
        <v>200</v>
      </c>
      <c r="BS113" s="11">
        <f t="shared" si="99"/>
        <v>200</v>
      </c>
      <c r="BT113" s="11">
        <f t="shared" si="99"/>
        <v>200</v>
      </c>
      <c r="BU113" s="11">
        <f t="shared" si="99"/>
        <v>200</v>
      </c>
      <c r="BV113" s="11">
        <f t="shared" si="99"/>
        <v>200</v>
      </c>
      <c r="BW113" s="11">
        <f t="shared" si="99"/>
        <v>200</v>
      </c>
      <c r="BX113" s="11">
        <f t="shared" si="99"/>
        <v>200</v>
      </c>
      <c r="BY113" s="11">
        <f t="shared" si="99"/>
        <v>200</v>
      </c>
      <c r="BZ113" s="11">
        <f t="shared" si="99"/>
        <v>200</v>
      </c>
      <c r="CA113" s="11">
        <f t="shared" si="99"/>
        <v>200</v>
      </c>
      <c r="CB113" s="11">
        <f t="shared" si="99"/>
        <v>200</v>
      </c>
      <c r="CC113" s="11">
        <f t="shared" si="99"/>
        <v>200</v>
      </c>
      <c r="CD113" s="11">
        <f t="shared" si="99"/>
        <v>200</v>
      </c>
      <c r="CE113" s="11">
        <f t="shared" si="99"/>
        <v>200</v>
      </c>
      <c r="CF113" s="11">
        <f t="shared" si="99"/>
        <v>200</v>
      </c>
      <c r="CG113" s="11">
        <f t="shared" si="99"/>
        <v>200</v>
      </c>
      <c r="CH113" s="11">
        <f t="shared" si="99"/>
        <v>200</v>
      </c>
      <c r="CI113" s="11">
        <f t="shared" si="99"/>
        <v>200</v>
      </c>
      <c r="CJ113" s="11">
        <f t="shared" si="99"/>
        <v>200</v>
      </c>
      <c r="CK113" s="11">
        <f t="shared" si="99"/>
        <v>200</v>
      </c>
      <c r="CL113" s="11">
        <f t="shared" si="99"/>
        <v>200</v>
      </c>
      <c r="CM113" s="11">
        <f t="shared" si="99"/>
        <v>200</v>
      </c>
      <c r="CN113" s="11">
        <f t="shared" si="99"/>
        <v>200</v>
      </c>
      <c r="CO113" s="11">
        <f t="shared" si="99"/>
        <v>200</v>
      </c>
      <c r="CP113" s="11">
        <f t="shared" si="99"/>
        <v>200</v>
      </c>
      <c r="CQ113" s="11">
        <f t="shared" si="99"/>
        <v>200</v>
      </c>
      <c r="CR113" s="11">
        <f t="shared" si="99"/>
        <v>200</v>
      </c>
      <c r="CS113" s="11">
        <f t="shared" si="99"/>
        <v>200</v>
      </c>
      <c r="CT113" s="11">
        <f t="shared" si="99"/>
        <v>200</v>
      </c>
      <c r="CU113" s="11">
        <f t="shared" si="99"/>
        <v>200</v>
      </c>
      <c r="CV113" s="11">
        <f t="shared" si="99"/>
        <v>200</v>
      </c>
      <c r="CW113" s="11">
        <f t="shared" si="99"/>
        <v>200</v>
      </c>
      <c r="CX113" s="11">
        <f t="shared" si="99"/>
        <v>200</v>
      </c>
      <c r="CY113" s="11">
        <f t="shared" si="99"/>
        <v>200</v>
      </c>
      <c r="CZ113" s="11">
        <f t="shared" si="99"/>
        <v>200</v>
      </c>
      <c r="DA113" s="11">
        <f t="shared" si="99"/>
        <v>200</v>
      </c>
      <c r="DB113" s="11">
        <f t="shared" si="99"/>
        <v>200</v>
      </c>
      <c r="DC113" s="11">
        <f t="shared" si="99"/>
        <v>200</v>
      </c>
      <c r="DD113" s="11">
        <f t="shared" si="99"/>
        <v>200</v>
      </c>
      <c r="DE113" s="11">
        <f t="shared" si="99"/>
        <v>200</v>
      </c>
      <c r="DF113" s="11">
        <f t="shared" si="99"/>
        <v>200</v>
      </c>
      <c r="DG113" s="11">
        <f t="shared" si="99"/>
        <v>200</v>
      </c>
      <c r="DH113" s="11">
        <f t="shared" si="99"/>
        <v>200</v>
      </c>
      <c r="DI113" s="11">
        <f t="shared" si="99"/>
        <v>200</v>
      </c>
      <c r="DJ113" s="11"/>
      <c r="DK113" s="11"/>
      <c r="DL113" s="11"/>
      <c r="DM113" s="11"/>
      <c r="DN113" s="11"/>
      <c r="DO113" s="11"/>
      <c r="DP113" s="11"/>
    </row>
    <row r="114" spans="1:120" x14ac:dyDescent="0.3">
      <c r="A114">
        <v>111</v>
      </c>
      <c r="B114" s="14">
        <v>45783</v>
      </c>
      <c r="C114" t="s">
        <v>392</v>
      </c>
      <c r="D114" t="s">
        <v>197</v>
      </c>
      <c r="E114" s="9">
        <v>6920</v>
      </c>
      <c r="F114" s="19">
        <f>E114/12</f>
        <v>576.66666666666663</v>
      </c>
      <c r="G114" s="14">
        <v>46142</v>
      </c>
      <c r="H114" s="11">
        <f t="shared" si="71"/>
        <v>0</v>
      </c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208"/>
      <c r="AX114" s="208"/>
      <c r="AY114" s="208"/>
      <c r="AZ114" s="208"/>
      <c r="BA114" s="208"/>
      <c r="BB114" s="208">
        <f>F114</f>
        <v>576.66666666666663</v>
      </c>
      <c r="BC114" s="208">
        <f>BB114</f>
        <v>576.66666666666663</v>
      </c>
      <c r="BD114" s="208">
        <f t="shared" si="99"/>
        <v>576.66666666666663</v>
      </c>
      <c r="BE114" s="208">
        <f t="shared" si="99"/>
        <v>576.66666666666663</v>
      </c>
      <c r="BF114" s="208">
        <f t="shared" si="99"/>
        <v>576.66666666666663</v>
      </c>
      <c r="BG114" s="208">
        <f t="shared" si="99"/>
        <v>576.66666666666663</v>
      </c>
      <c r="BH114" s="208">
        <f t="shared" si="99"/>
        <v>576.66666666666663</v>
      </c>
      <c r="BI114" s="208">
        <f t="shared" si="99"/>
        <v>576.66666666666663</v>
      </c>
      <c r="BJ114" s="11">
        <f t="shared" si="99"/>
        <v>576.66666666666663</v>
      </c>
      <c r="BK114" s="11">
        <f t="shared" si="99"/>
        <v>576.66666666666663</v>
      </c>
      <c r="BL114" s="11">
        <f t="shared" si="99"/>
        <v>576.66666666666663</v>
      </c>
      <c r="BM114" s="11">
        <f t="shared" si="99"/>
        <v>576.66666666666663</v>
      </c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</row>
    <row r="115" spans="1:120" x14ac:dyDescent="0.3">
      <c r="A115">
        <v>112</v>
      </c>
      <c r="B115" s="14">
        <v>45783</v>
      </c>
      <c r="C115" t="s">
        <v>222</v>
      </c>
      <c r="D115" t="s">
        <v>197</v>
      </c>
      <c r="E115" s="9">
        <v>16500</v>
      </c>
      <c r="F115" s="19">
        <f>E115/12</f>
        <v>1375</v>
      </c>
      <c r="G115" s="14">
        <v>46111</v>
      </c>
      <c r="H115" s="11">
        <f t="shared" si="71"/>
        <v>0</v>
      </c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208"/>
      <c r="AX115" s="208"/>
      <c r="AY115" s="208"/>
      <c r="AZ115" s="208"/>
      <c r="BA115" s="208"/>
      <c r="BB115" s="208">
        <f>F115*2</f>
        <v>2750</v>
      </c>
      <c r="BC115" s="208">
        <f>F115</f>
        <v>1375</v>
      </c>
      <c r="BD115" s="208">
        <f>BC115</f>
        <v>1375</v>
      </c>
      <c r="BE115" s="208">
        <f t="shared" si="99"/>
        <v>1375</v>
      </c>
      <c r="BF115" s="208">
        <f t="shared" si="99"/>
        <v>1375</v>
      </c>
      <c r="BG115" s="208">
        <f t="shared" si="99"/>
        <v>1375</v>
      </c>
      <c r="BH115" s="208">
        <f t="shared" si="99"/>
        <v>1375</v>
      </c>
      <c r="BI115" s="208">
        <f t="shared" si="99"/>
        <v>1375</v>
      </c>
      <c r="BJ115" s="11">
        <f t="shared" si="99"/>
        <v>1375</v>
      </c>
      <c r="BK115" s="11">
        <f t="shared" si="99"/>
        <v>1375</v>
      </c>
      <c r="BL115" s="11">
        <f t="shared" si="99"/>
        <v>1375</v>
      </c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</row>
    <row r="116" spans="1:120" x14ac:dyDescent="0.3">
      <c r="A116">
        <v>113</v>
      </c>
      <c r="B116" s="14">
        <v>45789</v>
      </c>
      <c r="C116" t="s">
        <v>393</v>
      </c>
      <c r="D116" t="s">
        <v>197</v>
      </c>
      <c r="E116" s="9">
        <v>9185</v>
      </c>
      <c r="F116" s="19">
        <f>E116/12</f>
        <v>765.41666666666663</v>
      </c>
      <c r="G116" s="14">
        <v>46142</v>
      </c>
      <c r="H116" s="11">
        <f t="shared" si="71"/>
        <v>0</v>
      </c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208"/>
      <c r="AX116" s="208"/>
      <c r="AY116" s="208"/>
      <c r="AZ116" s="208"/>
      <c r="BA116" s="208"/>
      <c r="BB116" s="208">
        <f t="shared" ref="BB116" si="100">F116</f>
        <v>765.41666666666663</v>
      </c>
      <c r="BC116" s="208">
        <f>BB116</f>
        <v>765.41666666666663</v>
      </c>
      <c r="BD116" s="208">
        <f t="shared" ref="BD116:BM116" si="101">BC116</f>
        <v>765.41666666666663</v>
      </c>
      <c r="BE116" s="208">
        <f t="shared" si="101"/>
        <v>765.41666666666663</v>
      </c>
      <c r="BF116" s="208">
        <f t="shared" si="101"/>
        <v>765.41666666666663</v>
      </c>
      <c r="BG116" s="208">
        <f t="shared" si="101"/>
        <v>765.41666666666663</v>
      </c>
      <c r="BH116" s="208">
        <f t="shared" si="101"/>
        <v>765.41666666666663</v>
      </c>
      <c r="BI116" s="208">
        <f t="shared" si="101"/>
        <v>765.41666666666663</v>
      </c>
      <c r="BJ116" s="11">
        <f t="shared" si="101"/>
        <v>765.41666666666663</v>
      </c>
      <c r="BK116" s="11">
        <f t="shared" si="101"/>
        <v>765.41666666666663</v>
      </c>
      <c r="BL116" s="11">
        <f t="shared" si="101"/>
        <v>765.41666666666663</v>
      </c>
      <c r="BM116" s="11">
        <f t="shared" si="101"/>
        <v>765.41666666666663</v>
      </c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</row>
    <row r="117" spans="1:120" x14ac:dyDescent="0.3">
      <c r="A117">
        <v>114</v>
      </c>
      <c r="B117" s="14">
        <v>45804</v>
      </c>
      <c r="C117" t="s">
        <v>394</v>
      </c>
      <c r="D117" t="s">
        <v>117</v>
      </c>
      <c r="E117" s="9">
        <v>11500</v>
      </c>
      <c r="F117" s="19">
        <f>E117/60</f>
        <v>191.66666666666666</v>
      </c>
      <c r="G117" s="14">
        <v>47603</v>
      </c>
      <c r="H117" s="11">
        <f t="shared" si="71"/>
        <v>0</v>
      </c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208"/>
      <c r="AX117" s="208"/>
      <c r="AY117" s="208"/>
      <c r="AZ117" s="208"/>
      <c r="BA117" s="208"/>
      <c r="BB117" s="208">
        <f>F117</f>
        <v>191.66666666666666</v>
      </c>
      <c r="BC117" s="208">
        <f t="shared" ref="BC117:BR123" si="102">BB117</f>
        <v>191.66666666666666</v>
      </c>
      <c r="BD117" s="208">
        <f t="shared" si="102"/>
        <v>191.66666666666666</v>
      </c>
      <c r="BE117" s="208">
        <f t="shared" si="102"/>
        <v>191.66666666666666</v>
      </c>
      <c r="BF117" s="208">
        <f t="shared" si="102"/>
        <v>191.66666666666666</v>
      </c>
      <c r="BG117" s="208">
        <f t="shared" si="102"/>
        <v>191.66666666666666</v>
      </c>
      <c r="BH117" s="208">
        <f t="shared" si="102"/>
        <v>191.66666666666666</v>
      </c>
      <c r="BI117" s="208">
        <f t="shared" si="102"/>
        <v>191.66666666666666</v>
      </c>
      <c r="BJ117" s="11">
        <f t="shared" si="102"/>
        <v>191.66666666666666</v>
      </c>
      <c r="BK117" s="11">
        <f t="shared" si="102"/>
        <v>191.66666666666666</v>
      </c>
      <c r="BL117" s="11">
        <f t="shared" si="102"/>
        <v>191.66666666666666</v>
      </c>
      <c r="BM117" s="11">
        <f t="shared" si="102"/>
        <v>191.66666666666666</v>
      </c>
      <c r="BN117" s="11">
        <f t="shared" si="102"/>
        <v>191.66666666666666</v>
      </c>
      <c r="BO117" s="11">
        <f t="shared" si="102"/>
        <v>191.66666666666666</v>
      </c>
      <c r="BP117" s="11">
        <f t="shared" si="102"/>
        <v>191.66666666666666</v>
      </c>
      <c r="BQ117" s="11">
        <f t="shared" si="102"/>
        <v>191.66666666666666</v>
      </c>
      <c r="BR117" s="11">
        <f t="shared" si="102"/>
        <v>191.66666666666666</v>
      </c>
      <c r="BS117" s="11">
        <f t="shared" ref="BS117:CH117" si="103">BR117</f>
        <v>191.66666666666666</v>
      </c>
      <c r="BT117" s="11">
        <f t="shared" si="103"/>
        <v>191.66666666666666</v>
      </c>
      <c r="BU117" s="11">
        <f t="shared" si="103"/>
        <v>191.66666666666666</v>
      </c>
      <c r="BV117" s="11">
        <f t="shared" si="103"/>
        <v>191.66666666666666</v>
      </c>
      <c r="BW117" s="11">
        <f t="shared" si="103"/>
        <v>191.66666666666666</v>
      </c>
      <c r="BX117" s="11">
        <f t="shared" si="103"/>
        <v>191.66666666666666</v>
      </c>
      <c r="BY117" s="11">
        <f t="shared" si="103"/>
        <v>191.66666666666666</v>
      </c>
      <c r="BZ117" s="11">
        <f t="shared" si="103"/>
        <v>191.66666666666666</v>
      </c>
      <c r="CA117" s="11">
        <f t="shared" si="103"/>
        <v>191.66666666666666</v>
      </c>
      <c r="CB117" s="11">
        <f t="shared" si="103"/>
        <v>191.66666666666666</v>
      </c>
      <c r="CC117" s="11">
        <f t="shared" si="103"/>
        <v>191.66666666666666</v>
      </c>
      <c r="CD117" s="11">
        <f t="shared" si="103"/>
        <v>191.66666666666666</v>
      </c>
      <c r="CE117" s="11">
        <f t="shared" si="103"/>
        <v>191.66666666666666</v>
      </c>
      <c r="CF117" s="11">
        <f t="shared" si="103"/>
        <v>191.66666666666666</v>
      </c>
      <c r="CG117" s="11">
        <f t="shared" si="103"/>
        <v>191.66666666666666</v>
      </c>
      <c r="CH117" s="11">
        <f t="shared" si="103"/>
        <v>191.66666666666666</v>
      </c>
      <c r="CI117" s="11">
        <f t="shared" ref="CI117:CX117" si="104">CH117</f>
        <v>191.66666666666666</v>
      </c>
      <c r="CJ117" s="11">
        <f t="shared" si="104"/>
        <v>191.66666666666666</v>
      </c>
      <c r="CK117" s="11">
        <f t="shared" si="104"/>
        <v>191.66666666666666</v>
      </c>
      <c r="CL117" s="11">
        <f t="shared" si="104"/>
        <v>191.66666666666666</v>
      </c>
      <c r="CM117" s="11">
        <f t="shared" si="104"/>
        <v>191.66666666666666</v>
      </c>
      <c r="CN117" s="11">
        <f t="shared" si="104"/>
        <v>191.66666666666666</v>
      </c>
      <c r="CO117" s="11">
        <f t="shared" si="104"/>
        <v>191.66666666666666</v>
      </c>
      <c r="CP117" s="11">
        <f t="shared" si="104"/>
        <v>191.66666666666666</v>
      </c>
      <c r="CQ117" s="11">
        <f t="shared" si="104"/>
        <v>191.66666666666666</v>
      </c>
      <c r="CR117" s="11">
        <f t="shared" si="104"/>
        <v>191.66666666666666</v>
      </c>
      <c r="CS117" s="11">
        <f t="shared" si="104"/>
        <v>191.66666666666666</v>
      </c>
      <c r="CT117" s="11">
        <f t="shared" si="104"/>
        <v>191.66666666666666</v>
      </c>
      <c r="CU117" s="11">
        <f t="shared" si="104"/>
        <v>191.66666666666666</v>
      </c>
      <c r="CV117" s="11">
        <f t="shared" si="104"/>
        <v>191.66666666666666</v>
      </c>
      <c r="CW117" s="11">
        <f t="shared" si="104"/>
        <v>191.66666666666666</v>
      </c>
      <c r="CX117" s="11">
        <f t="shared" si="104"/>
        <v>191.66666666666666</v>
      </c>
      <c r="CY117" s="11">
        <f t="shared" ref="CY117:DI117" si="105">CX117</f>
        <v>191.66666666666666</v>
      </c>
      <c r="CZ117" s="11">
        <f t="shared" si="105"/>
        <v>191.66666666666666</v>
      </c>
      <c r="DA117" s="11">
        <f t="shared" si="105"/>
        <v>191.66666666666666</v>
      </c>
      <c r="DB117" s="11">
        <f t="shared" si="105"/>
        <v>191.66666666666666</v>
      </c>
      <c r="DC117" s="11">
        <f t="shared" si="105"/>
        <v>191.66666666666666</v>
      </c>
      <c r="DD117" s="11">
        <f t="shared" si="105"/>
        <v>191.66666666666666</v>
      </c>
      <c r="DE117" s="11">
        <f t="shared" si="105"/>
        <v>191.66666666666666</v>
      </c>
      <c r="DF117" s="11">
        <f t="shared" si="105"/>
        <v>191.66666666666666</v>
      </c>
      <c r="DG117" s="11">
        <f t="shared" si="105"/>
        <v>191.66666666666666</v>
      </c>
      <c r="DH117" s="11">
        <f t="shared" si="105"/>
        <v>191.66666666666666</v>
      </c>
      <c r="DI117" s="11">
        <f t="shared" si="105"/>
        <v>191.66666666666666</v>
      </c>
      <c r="DJ117" s="11"/>
      <c r="DK117" s="11"/>
      <c r="DL117" s="11"/>
      <c r="DM117" s="11"/>
      <c r="DN117" s="11"/>
      <c r="DO117" s="11"/>
      <c r="DP117" s="11"/>
    </row>
    <row r="118" spans="1:120" x14ac:dyDescent="0.3">
      <c r="A118">
        <v>115</v>
      </c>
      <c r="B118" s="14">
        <v>45899</v>
      </c>
      <c r="C118" t="s">
        <v>232</v>
      </c>
      <c r="D118" t="s">
        <v>197</v>
      </c>
      <c r="E118" s="9">
        <v>9155</v>
      </c>
      <c r="F118" s="19">
        <f>E118/12</f>
        <v>762.91666666666663</v>
      </c>
      <c r="G118" s="14">
        <v>46234</v>
      </c>
      <c r="H118" s="11">
        <f t="shared" si="71"/>
        <v>0</v>
      </c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208"/>
      <c r="AX118" s="208"/>
      <c r="AY118" s="208"/>
      <c r="AZ118" s="208"/>
      <c r="BA118" s="208"/>
      <c r="BB118" s="208"/>
      <c r="BC118" s="208"/>
      <c r="BD118" s="208"/>
      <c r="BE118" s="208">
        <f>F118</f>
        <v>762.91666666666663</v>
      </c>
      <c r="BF118" s="208">
        <f t="shared" si="102"/>
        <v>762.91666666666663</v>
      </c>
      <c r="BG118" s="208">
        <f t="shared" si="102"/>
        <v>762.91666666666663</v>
      </c>
      <c r="BH118" s="208">
        <f t="shared" si="102"/>
        <v>762.91666666666663</v>
      </c>
      <c r="BI118" s="208">
        <f t="shared" si="102"/>
        <v>762.91666666666663</v>
      </c>
      <c r="BJ118" s="11">
        <f t="shared" si="102"/>
        <v>762.91666666666663</v>
      </c>
      <c r="BK118" s="11">
        <f t="shared" si="102"/>
        <v>762.91666666666663</v>
      </c>
      <c r="BL118" s="11">
        <f t="shared" si="102"/>
        <v>762.91666666666663</v>
      </c>
      <c r="BM118" s="11">
        <f t="shared" si="102"/>
        <v>762.91666666666663</v>
      </c>
      <c r="BN118" s="11">
        <f t="shared" si="102"/>
        <v>762.91666666666663</v>
      </c>
      <c r="BO118" s="11">
        <f t="shared" si="102"/>
        <v>762.91666666666663</v>
      </c>
      <c r="BP118" s="11">
        <f t="shared" si="102"/>
        <v>762.91666666666663</v>
      </c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</row>
    <row r="119" spans="1:120" x14ac:dyDescent="0.3">
      <c r="A119">
        <v>116</v>
      </c>
      <c r="B119" s="14">
        <v>45910</v>
      </c>
      <c r="C119" t="s">
        <v>425</v>
      </c>
      <c r="D119" t="s">
        <v>117</v>
      </c>
      <c r="E119" s="9">
        <v>12250</v>
      </c>
      <c r="F119" s="19">
        <f>E119/60</f>
        <v>204.16666666666666</v>
      </c>
      <c r="G119" s="14">
        <v>47726</v>
      </c>
      <c r="H119" s="11">
        <f t="shared" si="71"/>
        <v>0</v>
      </c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208"/>
      <c r="AX119" s="208"/>
      <c r="AY119" s="208"/>
      <c r="AZ119" s="208"/>
      <c r="BA119" s="208"/>
      <c r="BB119" s="208"/>
      <c r="BC119" s="208"/>
      <c r="BD119" s="208"/>
      <c r="BE119" s="208"/>
      <c r="BF119" s="208">
        <f>F119</f>
        <v>204.16666666666666</v>
      </c>
      <c r="BG119" s="208">
        <f t="shared" si="102"/>
        <v>204.16666666666666</v>
      </c>
      <c r="BH119" s="208">
        <f t="shared" si="102"/>
        <v>204.16666666666666</v>
      </c>
      <c r="BI119" s="208">
        <f t="shared" si="102"/>
        <v>204.16666666666666</v>
      </c>
      <c r="BJ119" s="11">
        <f t="shared" si="102"/>
        <v>204.16666666666666</v>
      </c>
      <c r="BK119" s="11">
        <f t="shared" si="102"/>
        <v>204.16666666666666</v>
      </c>
      <c r="BL119" s="11">
        <f t="shared" si="102"/>
        <v>204.16666666666666</v>
      </c>
      <c r="BM119" s="11">
        <f t="shared" si="102"/>
        <v>204.16666666666666</v>
      </c>
      <c r="BN119" s="11">
        <f t="shared" si="102"/>
        <v>204.16666666666666</v>
      </c>
      <c r="BO119" s="11">
        <f t="shared" si="102"/>
        <v>204.16666666666666</v>
      </c>
      <c r="BP119" s="11">
        <f t="shared" si="102"/>
        <v>204.16666666666666</v>
      </c>
      <c r="BQ119" s="11">
        <f t="shared" si="102"/>
        <v>204.16666666666666</v>
      </c>
      <c r="BR119" s="11">
        <f t="shared" si="102"/>
        <v>204.16666666666666</v>
      </c>
      <c r="BS119" s="11">
        <f t="shared" ref="BS119:CH120" si="106">BR119</f>
        <v>204.16666666666666</v>
      </c>
      <c r="BT119" s="11">
        <f t="shared" si="106"/>
        <v>204.16666666666666</v>
      </c>
      <c r="BU119" s="11">
        <f t="shared" si="106"/>
        <v>204.16666666666666</v>
      </c>
      <c r="BV119" s="11">
        <f t="shared" si="106"/>
        <v>204.16666666666666</v>
      </c>
      <c r="BW119" s="11">
        <f t="shared" si="106"/>
        <v>204.16666666666666</v>
      </c>
      <c r="BX119" s="11">
        <f t="shared" si="106"/>
        <v>204.16666666666666</v>
      </c>
      <c r="BY119" s="11">
        <f t="shared" si="106"/>
        <v>204.16666666666666</v>
      </c>
      <c r="BZ119" s="11">
        <f t="shared" si="106"/>
        <v>204.16666666666666</v>
      </c>
      <c r="CA119" s="11">
        <f t="shared" si="106"/>
        <v>204.16666666666666</v>
      </c>
      <c r="CB119" s="11">
        <f t="shared" si="106"/>
        <v>204.16666666666666</v>
      </c>
      <c r="CC119" s="11">
        <f t="shared" si="106"/>
        <v>204.16666666666666</v>
      </c>
      <c r="CD119" s="11">
        <f t="shared" si="106"/>
        <v>204.16666666666666</v>
      </c>
      <c r="CE119" s="11">
        <f t="shared" si="106"/>
        <v>204.16666666666666</v>
      </c>
      <c r="CF119" s="11">
        <f t="shared" si="106"/>
        <v>204.16666666666666</v>
      </c>
      <c r="CG119" s="11">
        <f t="shared" si="106"/>
        <v>204.16666666666666</v>
      </c>
      <c r="CH119" s="11">
        <f t="shared" si="106"/>
        <v>204.16666666666666</v>
      </c>
      <c r="CI119" s="11">
        <f t="shared" ref="CI119:CX120" si="107">CH119</f>
        <v>204.16666666666666</v>
      </c>
      <c r="CJ119" s="11">
        <f t="shared" si="107"/>
        <v>204.16666666666666</v>
      </c>
      <c r="CK119" s="11">
        <f t="shared" si="107"/>
        <v>204.16666666666666</v>
      </c>
      <c r="CL119" s="11">
        <f t="shared" si="107"/>
        <v>204.16666666666666</v>
      </c>
      <c r="CM119" s="11">
        <f t="shared" si="107"/>
        <v>204.16666666666666</v>
      </c>
      <c r="CN119" s="11">
        <f t="shared" si="107"/>
        <v>204.16666666666666</v>
      </c>
      <c r="CO119" s="11">
        <f t="shared" si="107"/>
        <v>204.16666666666666</v>
      </c>
      <c r="CP119" s="11">
        <f t="shared" si="107"/>
        <v>204.16666666666666</v>
      </c>
      <c r="CQ119" s="11">
        <f t="shared" si="107"/>
        <v>204.16666666666666</v>
      </c>
      <c r="CR119" s="11">
        <f t="shared" si="107"/>
        <v>204.16666666666666</v>
      </c>
      <c r="CS119" s="11">
        <f t="shared" si="107"/>
        <v>204.16666666666666</v>
      </c>
      <c r="CT119" s="11">
        <f t="shared" si="107"/>
        <v>204.16666666666666</v>
      </c>
      <c r="CU119" s="11">
        <f t="shared" si="107"/>
        <v>204.16666666666666</v>
      </c>
      <c r="CV119" s="11">
        <f t="shared" si="107"/>
        <v>204.16666666666666</v>
      </c>
      <c r="CW119" s="11">
        <f t="shared" si="107"/>
        <v>204.16666666666666</v>
      </c>
      <c r="CX119" s="11">
        <f t="shared" si="107"/>
        <v>204.16666666666666</v>
      </c>
      <c r="CY119" s="11">
        <f t="shared" ref="CY119:DM120" si="108">CX119</f>
        <v>204.16666666666666</v>
      </c>
      <c r="CZ119" s="11">
        <f t="shared" si="108"/>
        <v>204.16666666666666</v>
      </c>
      <c r="DA119" s="11">
        <f t="shared" si="108"/>
        <v>204.16666666666666</v>
      </c>
      <c r="DB119" s="11">
        <f t="shared" si="108"/>
        <v>204.16666666666666</v>
      </c>
      <c r="DC119" s="11">
        <f t="shared" si="108"/>
        <v>204.16666666666666</v>
      </c>
      <c r="DD119" s="11">
        <f t="shared" si="108"/>
        <v>204.16666666666666</v>
      </c>
      <c r="DE119" s="11">
        <f t="shared" si="108"/>
        <v>204.16666666666666</v>
      </c>
      <c r="DF119" s="11">
        <f t="shared" si="108"/>
        <v>204.16666666666666</v>
      </c>
      <c r="DG119" s="11">
        <f t="shared" si="108"/>
        <v>204.16666666666666</v>
      </c>
      <c r="DH119" s="11">
        <f t="shared" si="108"/>
        <v>204.16666666666666</v>
      </c>
      <c r="DI119" s="11">
        <f t="shared" si="108"/>
        <v>204.16666666666666</v>
      </c>
      <c r="DJ119" s="11">
        <f t="shared" si="108"/>
        <v>204.16666666666666</v>
      </c>
      <c r="DK119" s="11">
        <f t="shared" si="108"/>
        <v>204.16666666666666</v>
      </c>
      <c r="DL119" s="11">
        <f t="shared" si="108"/>
        <v>204.16666666666666</v>
      </c>
      <c r="DM119" s="11">
        <f t="shared" si="108"/>
        <v>204.16666666666666</v>
      </c>
      <c r="DN119" s="11"/>
      <c r="DO119" s="11"/>
      <c r="DP119" s="11"/>
    </row>
    <row r="120" spans="1:120" x14ac:dyDescent="0.3">
      <c r="A120">
        <v>117</v>
      </c>
      <c r="B120" s="14">
        <v>45922</v>
      </c>
      <c r="C120" t="s">
        <v>426</v>
      </c>
      <c r="D120" t="s">
        <v>117</v>
      </c>
      <c r="E120" s="9">
        <v>8550</v>
      </c>
      <c r="F120" s="19">
        <f>E120/60</f>
        <v>142.5</v>
      </c>
      <c r="G120" s="14">
        <v>47726</v>
      </c>
      <c r="H120" s="11">
        <f t="shared" si="71"/>
        <v>0</v>
      </c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208"/>
      <c r="AX120" s="208"/>
      <c r="AY120" s="208"/>
      <c r="AZ120" s="208"/>
      <c r="BA120" s="208"/>
      <c r="BB120" s="208"/>
      <c r="BC120" s="208"/>
      <c r="BD120" s="208"/>
      <c r="BE120" s="208"/>
      <c r="BF120" s="208">
        <f>F120</f>
        <v>142.5</v>
      </c>
      <c r="BG120" s="208">
        <f t="shared" si="102"/>
        <v>142.5</v>
      </c>
      <c r="BH120" s="208">
        <f t="shared" si="102"/>
        <v>142.5</v>
      </c>
      <c r="BI120" s="208">
        <f t="shared" si="102"/>
        <v>142.5</v>
      </c>
      <c r="BJ120" s="11">
        <f t="shared" si="102"/>
        <v>142.5</v>
      </c>
      <c r="BK120" s="11">
        <f t="shared" si="102"/>
        <v>142.5</v>
      </c>
      <c r="BL120" s="11">
        <f t="shared" si="102"/>
        <v>142.5</v>
      </c>
      <c r="BM120" s="11">
        <f t="shared" si="102"/>
        <v>142.5</v>
      </c>
      <c r="BN120" s="11">
        <f t="shared" si="102"/>
        <v>142.5</v>
      </c>
      <c r="BO120" s="11">
        <f t="shared" si="102"/>
        <v>142.5</v>
      </c>
      <c r="BP120" s="11">
        <f t="shared" si="102"/>
        <v>142.5</v>
      </c>
      <c r="BQ120" s="11">
        <f t="shared" si="102"/>
        <v>142.5</v>
      </c>
      <c r="BR120" s="11">
        <f t="shared" si="102"/>
        <v>142.5</v>
      </c>
      <c r="BS120" s="11">
        <f t="shared" si="106"/>
        <v>142.5</v>
      </c>
      <c r="BT120" s="11">
        <f t="shared" si="106"/>
        <v>142.5</v>
      </c>
      <c r="BU120" s="11">
        <f t="shared" si="106"/>
        <v>142.5</v>
      </c>
      <c r="BV120" s="11">
        <f t="shared" si="106"/>
        <v>142.5</v>
      </c>
      <c r="BW120" s="11">
        <f t="shared" si="106"/>
        <v>142.5</v>
      </c>
      <c r="BX120" s="11">
        <f t="shared" si="106"/>
        <v>142.5</v>
      </c>
      <c r="BY120" s="11">
        <f t="shared" si="106"/>
        <v>142.5</v>
      </c>
      <c r="BZ120" s="11">
        <f t="shared" si="106"/>
        <v>142.5</v>
      </c>
      <c r="CA120" s="11">
        <f t="shared" si="106"/>
        <v>142.5</v>
      </c>
      <c r="CB120" s="11">
        <f t="shared" si="106"/>
        <v>142.5</v>
      </c>
      <c r="CC120" s="11">
        <f t="shared" si="106"/>
        <v>142.5</v>
      </c>
      <c r="CD120" s="11">
        <f t="shared" si="106"/>
        <v>142.5</v>
      </c>
      <c r="CE120" s="11">
        <f t="shared" si="106"/>
        <v>142.5</v>
      </c>
      <c r="CF120" s="11">
        <f t="shared" si="106"/>
        <v>142.5</v>
      </c>
      <c r="CG120" s="11">
        <f t="shared" si="106"/>
        <v>142.5</v>
      </c>
      <c r="CH120" s="11">
        <f t="shared" si="106"/>
        <v>142.5</v>
      </c>
      <c r="CI120" s="11">
        <f t="shared" si="107"/>
        <v>142.5</v>
      </c>
      <c r="CJ120" s="11">
        <f t="shared" si="107"/>
        <v>142.5</v>
      </c>
      <c r="CK120" s="11">
        <f t="shared" si="107"/>
        <v>142.5</v>
      </c>
      <c r="CL120" s="11">
        <f t="shared" si="107"/>
        <v>142.5</v>
      </c>
      <c r="CM120" s="11">
        <f t="shared" si="107"/>
        <v>142.5</v>
      </c>
      <c r="CN120" s="11">
        <f t="shared" si="107"/>
        <v>142.5</v>
      </c>
      <c r="CO120" s="11">
        <f t="shared" si="107"/>
        <v>142.5</v>
      </c>
      <c r="CP120" s="11">
        <f t="shared" si="107"/>
        <v>142.5</v>
      </c>
      <c r="CQ120" s="11">
        <f t="shared" si="107"/>
        <v>142.5</v>
      </c>
      <c r="CR120" s="11">
        <f t="shared" si="107"/>
        <v>142.5</v>
      </c>
      <c r="CS120" s="11">
        <f t="shared" si="107"/>
        <v>142.5</v>
      </c>
      <c r="CT120" s="11">
        <f t="shared" si="107"/>
        <v>142.5</v>
      </c>
      <c r="CU120" s="11">
        <f t="shared" si="107"/>
        <v>142.5</v>
      </c>
      <c r="CV120" s="11">
        <f t="shared" si="107"/>
        <v>142.5</v>
      </c>
      <c r="CW120" s="11">
        <f t="shared" si="107"/>
        <v>142.5</v>
      </c>
      <c r="CX120" s="11">
        <f t="shared" si="107"/>
        <v>142.5</v>
      </c>
      <c r="CY120" s="11">
        <f t="shared" si="108"/>
        <v>142.5</v>
      </c>
      <c r="CZ120" s="11">
        <f t="shared" si="108"/>
        <v>142.5</v>
      </c>
      <c r="DA120" s="11">
        <f t="shared" si="108"/>
        <v>142.5</v>
      </c>
      <c r="DB120" s="11">
        <f t="shared" si="108"/>
        <v>142.5</v>
      </c>
      <c r="DC120" s="11">
        <f t="shared" si="108"/>
        <v>142.5</v>
      </c>
      <c r="DD120" s="11">
        <f t="shared" si="108"/>
        <v>142.5</v>
      </c>
      <c r="DE120" s="11">
        <f t="shared" si="108"/>
        <v>142.5</v>
      </c>
      <c r="DF120" s="11">
        <f t="shared" si="108"/>
        <v>142.5</v>
      </c>
      <c r="DG120" s="11">
        <f t="shared" si="108"/>
        <v>142.5</v>
      </c>
      <c r="DH120" s="11">
        <f t="shared" si="108"/>
        <v>142.5</v>
      </c>
      <c r="DI120" s="11">
        <f t="shared" si="108"/>
        <v>142.5</v>
      </c>
      <c r="DJ120" s="11">
        <f t="shared" si="108"/>
        <v>142.5</v>
      </c>
      <c r="DK120" s="11">
        <f t="shared" si="108"/>
        <v>142.5</v>
      </c>
      <c r="DL120" s="11">
        <f t="shared" si="108"/>
        <v>142.5</v>
      </c>
      <c r="DM120" s="11">
        <f t="shared" si="108"/>
        <v>142.5</v>
      </c>
      <c r="DN120" s="11"/>
      <c r="DO120" s="11"/>
      <c r="DP120" s="11"/>
    </row>
    <row r="121" spans="1:120" x14ac:dyDescent="0.3">
      <c r="A121">
        <v>118</v>
      </c>
      <c r="B121" s="14">
        <v>45964.595671296294</v>
      </c>
      <c r="C121" t="s">
        <v>446</v>
      </c>
      <c r="D121" t="s">
        <v>197</v>
      </c>
      <c r="E121" s="9">
        <v>9515</v>
      </c>
      <c r="F121" s="19">
        <f>E121/12</f>
        <v>792.91666666666663</v>
      </c>
      <c r="G121" s="14">
        <v>45930</v>
      </c>
      <c r="H121" s="11">
        <f t="shared" si="71"/>
        <v>0</v>
      </c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208"/>
      <c r="AX121" s="208"/>
      <c r="AY121" s="208"/>
      <c r="AZ121" s="208"/>
      <c r="BA121" s="208"/>
      <c r="BB121" s="208"/>
      <c r="BC121" s="208"/>
      <c r="BD121" s="208"/>
      <c r="BE121" s="208"/>
      <c r="BF121" s="208"/>
      <c r="BG121" s="208"/>
      <c r="BH121" s="208">
        <f>F121*2</f>
        <v>1585.8333333333333</v>
      </c>
      <c r="BI121" s="208">
        <f>F121</f>
        <v>792.91666666666663</v>
      </c>
      <c r="BJ121" s="11">
        <f>BI121</f>
        <v>792.91666666666663</v>
      </c>
      <c r="BK121" s="11">
        <f t="shared" si="102"/>
        <v>792.91666666666663</v>
      </c>
      <c r="BL121" s="11">
        <f t="shared" si="102"/>
        <v>792.91666666666663</v>
      </c>
      <c r="BM121" s="11">
        <f t="shared" si="102"/>
        <v>792.91666666666663</v>
      </c>
      <c r="BN121" s="11">
        <f t="shared" si="102"/>
        <v>792.91666666666663</v>
      </c>
      <c r="BO121" s="11">
        <f t="shared" si="102"/>
        <v>792.91666666666663</v>
      </c>
      <c r="BP121" s="11">
        <f t="shared" si="102"/>
        <v>792.91666666666663</v>
      </c>
      <c r="BQ121" s="11">
        <f t="shared" si="102"/>
        <v>792.91666666666663</v>
      </c>
      <c r="BR121" s="11">
        <f t="shared" si="102"/>
        <v>792.91666666666663</v>
      </c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</row>
    <row r="122" spans="1:120" x14ac:dyDescent="0.3">
      <c r="A122">
        <v>119</v>
      </c>
      <c r="B122" s="14">
        <v>45982.71465277778</v>
      </c>
      <c r="C122" t="s">
        <v>447</v>
      </c>
      <c r="D122" t="s">
        <v>117</v>
      </c>
      <c r="E122" s="9">
        <v>9000</v>
      </c>
      <c r="F122" s="19">
        <f>E122/60</f>
        <v>150</v>
      </c>
      <c r="G122" s="14">
        <v>47787</v>
      </c>
      <c r="H122" s="11">
        <f>E122-SUM(I122:DP122)</f>
        <v>0</v>
      </c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208"/>
      <c r="AX122" s="208"/>
      <c r="AY122" s="208"/>
      <c r="AZ122" s="208"/>
      <c r="BA122" s="208"/>
      <c r="BB122" s="208"/>
      <c r="BC122" s="208"/>
      <c r="BD122" s="208"/>
      <c r="BE122" s="208"/>
      <c r="BF122" s="208"/>
      <c r="BG122" s="208"/>
      <c r="BH122" s="208">
        <f>F122</f>
        <v>150</v>
      </c>
      <c r="BI122" s="208">
        <f>BH122</f>
        <v>150</v>
      </c>
      <c r="BJ122" s="11">
        <f>BI122</f>
        <v>150</v>
      </c>
      <c r="BK122" s="11">
        <f t="shared" si="102"/>
        <v>150</v>
      </c>
      <c r="BL122" s="11">
        <f t="shared" si="102"/>
        <v>150</v>
      </c>
      <c r="BM122" s="11">
        <f t="shared" si="102"/>
        <v>150</v>
      </c>
      <c r="BN122" s="11">
        <f t="shared" si="102"/>
        <v>150</v>
      </c>
      <c r="BO122" s="11">
        <f t="shared" si="102"/>
        <v>150</v>
      </c>
      <c r="BP122" s="11">
        <f t="shared" si="102"/>
        <v>150</v>
      </c>
      <c r="BQ122" s="11">
        <f t="shared" si="102"/>
        <v>150</v>
      </c>
      <c r="BR122" s="11">
        <f t="shared" si="102"/>
        <v>150</v>
      </c>
      <c r="BS122" s="11">
        <f t="shared" ref="BS122:DO122" si="109">BR122</f>
        <v>150</v>
      </c>
      <c r="BT122" s="11">
        <f t="shared" si="109"/>
        <v>150</v>
      </c>
      <c r="BU122" s="11">
        <f t="shared" si="109"/>
        <v>150</v>
      </c>
      <c r="BV122" s="11">
        <f t="shared" si="109"/>
        <v>150</v>
      </c>
      <c r="BW122" s="11">
        <f t="shared" si="109"/>
        <v>150</v>
      </c>
      <c r="BX122" s="11">
        <f t="shared" si="109"/>
        <v>150</v>
      </c>
      <c r="BY122" s="11">
        <f t="shared" si="109"/>
        <v>150</v>
      </c>
      <c r="BZ122" s="11">
        <f t="shared" si="109"/>
        <v>150</v>
      </c>
      <c r="CA122" s="11">
        <f t="shared" si="109"/>
        <v>150</v>
      </c>
      <c r="CB122" s="11">
        <f t="shared" si="109"/>
        <v>150</v>
      </c>
      <c r="CC122" s="11">
        <f t="shared" si="109"/>
        <v>150</v>
      </c>
      <c r="CD122" s="11">
        <f t="shared" si="109"/>
        <v>150</v>
      </c>
      <c r="CE122" s="11">
        <f t="shared" si="109"/>
        <v>150</v>
      </c>
      <c r="CF122" s="11">
        <f t="shared" si="109"/>
        <v>150</v>
      </c>
      <c r="CG122" s="11">
        <f t="shared" si="109"/>
        <v>150</v>
      </c>
      <c r="CH122" s="11">
        <f t="shared" si="109"/>
        <v>150</v>
      </c>
      <c r="CI122" s="11">
        <f t="shared" si="109"/>
        <v>150</v>
      </c>
      <c r="CJ122" s="11">
        <f t="shared" si="109"/>
        <v>150</v>
      </c>
      <c r="CK122" s="11">
        <f t="shared" si="109"/>
        <v>150</v>
      </c>
      <c r="CL122" s="11">
        <f t="shared" si="109"/>
        <v>150</v>
      </c>
      <c r="CM122" s="11">
        <f t="shared" si="109"/>
        <v>150</v>
      </c>
      <c r="CN122" s="11">
        <f t="shared" si="109"/>
        <v>150</v>
      </c>
      <c r="CO122" s="11">
        <f t="shared" si="109"/>
        <v>150</v>
      </c>
      <c r="CP122" s="11">
        <f t="shared" si="109"/>
        <v>150</v>
      </c>
      <c r="CQ122" s="11">
        <f t="shared" si="109"/>
        <v>150</v>
      </c>
      <c r="CR122" s="11">
        <f t="shared" si="109"/>
        <v>150</v>
      </c>
      <c r="CS122" s="11">
        <f t="shared" si="109"/>
        <v>150</v>
      </c>
      <c r="CT122" s="11">
        <f t="shared" si="109"/>
        <v>150</v>
      </c>
      <c r="CU122" s="11">
        <f t="shared" si="109"/>
        <v>150</v>
      </c>
      <c r="CV122" s="11">
        <f t="shared" si="109"/>
        <v>150</v>
      </c>
      <c r="CW122" s="11">
        <f t="shared" si="109"/>
        <v>150</v>
      </c>
      <c r="CX122" s="11">
        <f t="shared" si="109"/>
        <v>150</v>
      </c>
      <c r="CY122" s="11">
        <f t="shared" si="109"/>
        <v>150</v>
      </c>
      <c r="CZ122" s="11">
        <f t="shared" si="109"/>
        <v>150</v>
      </c>
      <c r="DA122" s="11">
        <f t="shared" si="109"/>
        <v>150</v>
      </c>
      <c r="DB122" s="11">
        <f t="shared" si="109"/>
        <v>150</v>
      </c>
      <c r="DC122" s="11">
        <f t="shared" si="109"/>
        <v>150</v>
      </c>
      <c r="DD122" s="11">
        <f t="shared" si="109"/>
        <v>150</v>
      </c>
      <c r="DE122" s="11">
        <f t="shared" si="109"/>
        <v>150</v>
      </c>
      <c r="DF122" s="11">
        <f t="shared" si="109"/>
        <v>150</v>
      </c>
      <c r="DG122" s="11">
        <f t="shared" si="109"/>
        <v>150</v>
      </c>
      <c r="DH122" s="11">
        <f t="shared" si="109"/>
        <v>150</v>
      </c>
      <c r="DI122" s="11">
        <f t="shared" si="109"/>
        <v>150</v>
      </c>
      <c r="DJ122" s="11">
        <f t="shared" si="109"/>
        <v>150</v>
      </c>
      <c r="DK122" s="11">
        <f t="shared" si="109"/>
        <v>150</v>
      </c>
      <c r="DL122" s="11">
        <f t="shared" si="109"/>
        <v>150</v>
      </c>
      <c r="DM122" s="11">
        <f t="shared" si="109"/>
        <v>150</v>
      </c>
      <c r="DN122" s="11">
        <f t="shared" si="109"/>
        <v>150</v>
      </c>
      <c r="DO122" s="11">
        <f t="shared" si="109"/>
        <v>150</v>
      </c>
      <c r="DP122" s="11"/>
    </row>
    <row r="123" spans="1:120" x14ac:dyDescent="0.3">
      <c r="A123">
        <v>120</v>
      </c>
      <c r="B123" s="14">
        <v>45994.534895833334</v>
      </c>
      <c r="C123" t="s">
        <v>221</v>
      </c>
      <c r="D123" t="s">
        <v>197</v>
      </c>
      <c r="E123" s="9">
        <v>11000</v>
      </c>
      <c r="F123" s="19">
        <f>E123/12</f>
        <v>916.66666666666663</v>
      </c>
      <c r="G123" s="14">
        <v>45991</v>
      </c>
      <c r="H123" s="11">
        <f t="shared" ref="H123" si="110">E123-SUM(I123:DP123)</f>
        <v>0</v>
      </c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208"/>
      <c r="AX123" s="208"/>
      <c r="AY123" s="208"/>
      <c r="AZ123" s="208"/>
      <c r="BA123" s="208"/>
      <c r="BB123" s="208"/>
      <c r="BC123" s="208"/>
      <c r="BD123" s="208"/>
      <c r="BE123" s="208"/>
      <c r="BF123" s="208"/>
      <c r="BG123" s="208"/>
      <c r="BH123" s="208"/>
      <c r="BI123" s="208">
        <f>F123</f>
        <v>916.66666666666663</v>
      </c>
      <c r="BJ123" s="11">
        <f>BI123</f>
        <v>916.66666666666663</v>
      </c>
      <c r="BK123" s="11">
        <f>BJ123</f>
        <v>916.66666666666663</v>
      </c>
      <c r="BL123" s="11">
        <f t="shared" si="102"/>
        <v>916.66666666666663</v>
      </c>
      <c r="BM123" s="11">
        <f t="shared" si="102"/>
        <v>916.66666666666663</v>
      </c>
      <c r="BN123" s="11">
        <f t="shared" si="102"/>
        <v>916.66666666666663</v>
      </c>
      <c r="BO123" s="11">
        <f t="shared" si="102"/>
        <v>916.66666666666663</v>
      </c>
      <c r="BP123" s="11">
        <f t="shared" si="102"/>
        <v>916.66666666666663</v>
      </c>
      <c r="BQ123" s="11">
        <f t="shared" si="102"/>
        <v>916.66666666666663</v>
      </c>
      <c r="BR123" s="11">
        <f t="shared" si="102"/>
        <v>916.66666666666663</v>
      </c>
      <c r="BS123" s="11">
        <f>BR123</f>
        <v>916.66666666666663</v>
      </c>
      <c r="BT123" s="11">
        <f>BS123</f>
        <v>916.66666666666663</v>
      </c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</row>
    <row r="124" spans="1:120" x14ac:dyDescent="0.3">
      <c r="B124" s="14"/>
      <c r="F124" s="19"/>
      <c r="G124" s="14"/>
      <c r="H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208"/>
      <c r="AX124" s="208"/>
      <c r="AY124" s="208"/>
      <c r="AZ124" s="208"/>
      <c r="BA124" s="208"/>
      <c r="BB124" s="208"/>
      <c r="BC124" s="208"/>
      <c r="BD124" s="208"/>
      <c r="BE124" s="208"/>
      <c r="BF124" s="208"/>
      <c r="BG124" s="208"/>
      <c r="BH124" s="208"/>
      <c r="BI124" s="208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</row>
    <row r="125" spans="1:120" x14ac:dyDescent="0.3">
      <c r="B125" s="14"/>
      <c r="F125" s="19"/>
      <c r="G125" s="14"/>
      <c r="H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208"/>
      <c r="AX125" s="208"/>
      <c r="AY125" s="208"/>
      <c r="AZ125" s="208"/>
      <c r="BA125" s="208"/>
      <c r="BB125" s="208"/>
      <c r="BC125" s="208"/>
      <c r="BD125" s="208"/>
      <c r="BE125" s="208"/>
      <c r="BF125" s="208"/>
      <c r="BG125" s="208"/>
      <c r="BH125" s="208"/>
      <c r="BI125" s="208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</row>
    <row r="126" spans="1:120" x14ac:dyDescent="0.3">
      <c r="B126" s="14"/>
      <c r="F126" s="19"/>
    </row>
    <row r="127" spans="1:120" ht="15" thickBot="1" x14ac:dyDescent="0.35">
      <c r="E127" s="248">
        <f>SUM(E4:E104)</f>
        <v>1098113</v>
      </c>
      <c r="H127" t="s">
        <v>255</v>
      </c>
      <c r="I127" s="249">
        <f t="shared" ref="I127:AA127" si="111">SUM(I4:I40)</f>
        <v>250</v>
      </c>
      <c r="J127" s="249">
        <f t="shared" si="111"/>
        <v>1888.1041666666667</v>
      </c>
      <c r="K127" s="249">
        <f t="shared" si="111"/>
        <v>2266.854166666667</v>
      </c>
      <c r="L127" s="249">
        <f t="shared" si="111"/>
        <v>2350.1875000000005</v>
      </c>
      <c r="M127" s="249">
        <f t="shared" si="111"/>
        <v>2463.5208333333339</v>
      </c>
      <c r="N127" s="249">
        <f t="shared" si="111"/>
        <v>2713.5208333333339</v>
      </c>
      <c r="O127" s="249">
        <f t="shared" si="111"/>
        <v>2963.5208333333339</v>
      </c>
      <c r="P127" s="249">
        <f t="shared" si="111"/>
        <v>5208.6041666666679</v>
      </c>
      <c r="Q127" s="249">
        <f t="shared" si="111"/>
        <v>5583.6041666666679</v>
      </c>
      <c r="R127" s="249">
        <f t="shared" si="111"/>
        <v>5991.9375000000009</v>
      </c>
      <c r="S127" s="249">
        <f t="shared" si="111"/>
        <v>5991.9375000000009</v>
      </c>
      <c r="T127" s="249">
        <f t="shared" si="111"/>
        <v>6308.6041666666679</v>
      </c>
      <c r="U127" s="249">
        <f t="shared" si="111"/>
        <v>20388.604166666668</v>
      </c>
      <c r="V127" s="249">
        <f t="shared" si="111"/>
        <v>6226.1041666666679</v>
      </c>
      <c r="W127" s="249">
        <f t="shared" si="111"/>
        <v>6601.1041666666679</v>
      </c>
      <c r="X127" s="249">
        <f t="shared" si="111"/>
        <v>6951.1041666666679</v>
      </c>
      <c r="Y127" s="249">
        <f t="shared" si="111"/>
        <v>6951.1041666666679</v>
      </c>
      <c r="Z127" s="249">
        <f t="shared" si="111"/>
        <v>7878</v>
      </c>
      <c r="AA127" s="249">
        <f t="shared" si="111"/>
        <v>7878</v>
      </c>
      <c r="AB127" s="249">
        <f>SUM(AB4:AB42)</f>
        <v>7878</v>
      </c>
      <c r="AC127" s="249">
        <f>SUM(AC4:AC47)</f>
        <v>10572.583333333332</v>
      </c>
      <c r="AD127" s="249">
        <f t="shared" ref="AD127:CO127" si="112">SUM(AD4:AD126)</f>
        <v>12932.166666666664</v>
      </c>
      <c r="AE127" s="249">
        <f t="shared" si="112"/>
        <v>16186.33333333333</v>
      </c>
      <c r="AF127" s="249">
        <f t="shared" si="112"/>
        <v>16186.33333333333</v>
      </c>
      <c r="AG127" s="249">
        <f t="shared" si="112"/>
        <v>18311.333333333328</v>
      </c>
      <c r="AH127" s="249">
        <f t="shared" si="112"/>
        <v>18515.499999999996</v>
      </c>
      <c r="AI127" s="249">
        <f t="shared" si="112"/>
        <v>19508.416666666664</v>
      </c>
      <c r="AJ127" s="249">
        <f t="shared" si="112"/>
        <v>19750.083333333332</v>
      </c>
      <c r="AK127" s="249">
        <f t="shared" si="112"/>
        <v>21216.75</v>
      </c>
      <c r="AL127" s="249">
        <f t="shared" si="112"/>
        <v>20962.583333333339</v>
      </c>
      <c r="AM127" s="249">
        <f t="shared" si="112"/>
        <v>23083.416666666675</v>
      </c>
      <c r="AN127" s="249">
        <f t="shared" si="112"/>
        <v>23666.750000000004</v>
      </c>
      <c r="AO127" s="249">
        <f t="shared" si="112"/>
        <v>21678.416666666668</v>
      </c>
      <c r="AP127" s="249">
        <f t="shared" si="112"/>
        <v>22303.999999999993</v>
      </c>
      <c r="AQ127" s="249">
        <f t="shared" si="112"/>
        <v>23187.333333333328</v>
      </c>
      <c r="AR127" s="249">
        <f t="shared" si="112"/>
        <v>22187.333333333328</v>
      </c>
      <c r="AS127" s="249">
        <f t="shared" si="112"/>
        <v>21575.249999999996</v>
      </c>
      <c r="AT127" s="249">
        <f t="shared" si="112"/>
        <v>21575.249999999996</v>
      </c>
      <c r="AU127" s="249">
        <f t="shared" si="112"/>
        <v>23725.249999999996</v>
      </c>
      <c r="AV127" s="249">
        <f>SUM(AV4:AV126)</f>
        <v>28190.249999999996</v>
      </c>
      <c r="AW127" s="365">
        <f>SUM(AW4:AW126)</f>
        <v>27711.083333333332</v>
      </c>
      <c r="AX127" s="365">
        <f>SUM(AX4:AX126)</f>
        <v>27858.583333333336</v>
      </c>
      <c r="AY127" s="365">
        <f>SUM(AY4:AY126)</f>
        <v>24476.916666666668</v>
      </c>
      <c r="AZ127" s="365">
        <f>SUM(AZ4:AZ126)</f>
        <v>26558.583333333336</v>
      </c>
      <c r="BA127" s="365">
        <f t="shared" si="112"/>
        <v>23498.166666666672</v>
      </c>
      <c r="BB127" s="365">
        <f t="shared" si="112"/>
        <v>28186.083333333343</v>
      </c>
      <c r="BC127" s="365">
        <f t="shared" si="112"/>
        <v>24146.083333333343</v>
      </c>
      <c r="BD127" s="365">
        <f t="shared" si="112"/>
        <v>22479.416666666675</v>
      </c>
      <c r="BE127" s="365">
        <f>SUM(BE4:BE126)</f>
        <v>22479.416666666675</v>
      </c>
      <c r="BF127" s="365">
        <f t="shared" si="112"/>
        <v>22826.083333333343</v>
      </c>
      <c r="BG127" s="365">
        <f t="shared" si="112"/>
        <v>21048.166666666672</v>
      </c>
      <c r="BH127" s="365">
        <f t="shared" si="112"/>
        <v>22784.000000000004</v>
      </c>
      <c r="BI127" s="365">
        <f t="shared" si="112"/>
        <v>21303.583333333339</v>
      </c>
      <c r="BJ127" s="249">
        <f t="shared" si="112"/>
        <v>21303.583333333339</v>
      </c>
      <c r="BK127" s="249">
        <f t="shared" si="112"/>
        <v>20928.583333333339</v>
      </c>
      <c r="BL127" s="249">
        <f t="shared" si="112"/>
        <v>20011.916666666672</v>
      </c>
      <c r="BM127" s="249">
        <f t="shared" si="112"/>
        <v>18636.916666666668</v>
      </c>
      <c r="BN127" s="249">
        <f t="shared" si="112"/>
        <v>16515.666666666664</v>
      </c>
      <c r="BO127" s="249">
        <f t="shared" si="112"/>
        <v>16515.666666666664</v>
      </c>
      <c r="BP127" s="249">
        <f t="shared" si="112"/>
        <v>16515.666666666664</v>
      </c>
      <c r="BQ127" s="249">
        <f t="shared" si="112"/>
        <v>15502.75</v>
      </c>
      <c r="BR127" s="249">
        <f t="shared" si="112"/>
        <v>14708.583333333336</v>
      </c>
      <c r="BS127" s="249">
        <f t="shared" si="112"/>
        <v>13536.91666666667</v>
      </c>
      <c r="BT127" s="249">
        <f t="shared" si="112"/>
        <v>13453.583333333336</v>
      </c>
      <c r="BU127" s="249">
        <f t="shared" si="112"/>
        <v>12423.583333333338</v>
      </c>
      <c r="BV127" s="249">
        <f t="shared" si="112"/>
        <v>12173.583333333336</v>
      </c>
      <c r="BW127" s="249">
        <f t="shared" si="112"/>
        <v>11923.583333333334</v>
      </c>
      <c r="BX127" s="249">
        <f t="shared" si="112"/>
        <v>10852.666666666666</v>
      </c>
      <c r="BY127" s="249">
        <f t="shared" si="112"/>
        <v>10477.666666666664</v>
      </c>
      <c r="BZ127" s="249">
        <f t="shared" si="112"/>
        <v>10069.333333333328</v>
      </c>
      <c r="CA127" s="249">
        <f t="shared" si="112"/>
        <v>10069.333333333328</v>
      </c>
      <c r="CB127" s="249">
        <f t="shared" si="112"/>
        <v>9752.6666666666642</v>
      </c>
      <c r="CC127" s="249">
        <f t="shared" si="112"/>
        <v>9577.6666666666642</v>
      </c>
      <c r="CD127" s="249">
        <f t="shared" si="112"/>
        <v>9577.6666666666642</v>
      </c>
      <c r="CE127" s="249">
        <f t="shared" si="112"/>
        <v>9202.6666666666642</v>
      </c>
      <c r="CF127" s="249">
        <f t="shared" si="112"/>
        <v>8852.6666666666642</v>
      </c>
      <c r="CG127" s="249">
        <f t="shared" si="112"/>
        <v>8852.6666666666642</v>
      </c>
      <c r="CH127" s="249">
        <f t="shared" si="112"/>
        <v>8685.9999999999982</v>
      </c>
      <c r="CI127" s="249">
        <f t="shared" si="112"/>
        <v>8685.9999999999982</v>
      </c>
      <c r="CJ127" s="249">
        <f t="shared" si="112"/>
        <v>8685.9999999999982</v>
      </c>
      <c r="CK127" s="249">
        <f t="shared" si="112"/>
        <v>8131.8333333333321</v>
      </c>
      <c r="CL127" s="249">
        <f t="shared" si="112"/>
        <v>7344.3333333333339</v>
      </c>
      <c r="CM127" s="249">
        <f t="shared" si="112"/>
        <v>6590.1666666666679</v>
      </c>
      <c r="CN127" s="249">
        <f t="shared" si="112"/>
        <v>6590.1666666666679</v>
      </c>
      <c r="CO127" s="249">
        <f t="shared" si="112"/>
        <v>6215.1666666666688</v>
      </c>
      <c r="CP127" s="249">
        <f t="shared" ref="CP127:DP127" si="113">SUM(CP4:CP126)</f>
        <v>6011.0000000000018</v>
      </c>
      <c r="CQ127" s="249">
        <f t="shared" si="113"/>
        <v>5811.0000000000018</v>
      </c>
      <c r="CR127" s="249">
        <f t="shared" si="113"/>
        <v>5569.3333333333348</v>
      </c>
      <c r="CS127" s="249">
        <f t="shared" si="113"/>
        <v>5186.0000000000009</v>
      </c>
      <c r="CT127" s="249">
        <f t="shared" si="113"/>
        <v>4523.4999999999991</v>
      </c>
      <c r="CU127" s="249">
        <f t="shared" si="113"/>
        <v>4319.3333333333321</v>
      </c>
      <c r="CV127" s="249">
        <f t="shared" si="113"/>
        <v>4319.3333333333321</v>
      </c>
      <c r="CW127" s="249">
        <f t="shared" si="113"/>
        <v>3777.6666666666656</v>
      </c>
      <c r="CX127" s="249">
        <f t="shared" si="113"/>
        <v>2359.166666666667</v>
      </c>
      <c r="CY127" s="249">
        <f t="shared" si="113"/>
        <v>1475.8333333333333</v>
      </c>
      <c r="CZ127" s="249">
        <f t="shared" si="113"/>
        <v>1475.8333333333333</v>
      </c>
      <c r="DA127" s="249">
        <f t="shared" si="113"/>
        <v>1475.8333333333333</v>
      </c>
      <c r="DB127" s="249">
        <f t="shared" si="113"/>
        <v>1475.8333333333333</v>
      </c>
      <c r="DC127" s="249">
        <f t="shared" si="113"/>
        <v>1475.8333333333333</v>
      </c>
      <c r="DD127" s="249">
        <f t="shared" si="113"/>
        <v>1475.8333333333333</v>
      </c>
      <c r="DE127" s="249">
        <f t="shared" si="113"/>
        <v>1475.8333333333333</v>
      </c>
      <c r="DF127" s="249">
        <f t="shared" si="113"/>
        <v>1475.8333333333333</v>
      </c>
      <c r="DG127" s="249">
        <f t="shared" si="113"/>
        <v>1475.8333333333333</v>
      </c>
      <c r="DH127" s="249">
        <f t="shared" si="113"/>
        <v>1475.8333333333333</v>
      </c>
      <c r="DI127" s="249">
        <f t="shared" si="113"/>
        <v>1092.5</v>
      </c>
      <c r="DJ127" s="249">
        <f t="shared" si="113"/>
        <v>496.66666666666663</v>
      </c>
      <c r="DK127" s="249">
        <f t="shared" si="113"/>
        <v>496.66666666666663</v>
      </c>
      <c r="DL127" s="249">
        <f t="shared" si="113"/>
        <v>496.66666666666663</v>
      </c>
      <c r="DM127" s="249">
        <f t="shared" si="113"/>
        <v>496.66666666666663</v>
      </c>
      <c r="DN127" s="249">
        <f t="shared" si="113"/>
        <v>150</v>
      </c>
      <c r="DO127" s="249">
        <f t="shared" si="113"/>
        <v>150</v>
      </c>
      <c r="DP127" s="249">
        <f t="shared" si="113"/>
        <v>0</v>
      </c>
    </row>
    <row r="128" spans="1:120" ht="15" thickTop="1" x14ac:dyDescent="0.3">
      <c r="H128" t="s">
        <v>197</v>
      </c>
      <c r="I128" s="250">
        <f t="shared" ref="I128:AC128" si="114">SUMIF($D4:$D47,$H128,I$4:I$47)</f>
        <v>0</v>
      </c>
      <c r="J128" s="250">
        <f t="shared" si="114"/>
        <v>843.9375</v>
      </c>
      <c r="K128" s="250">
        <f t="shared" si="114"/>
        <v>843.9375</v>
      </c>
      <c r="L128" s="250">
        <f t="shared" si="114"/>
        <v>843.9375</v>
      </c>
      <c r="M128" s="250">
        <f t="shared" si="114"/>
        <v>843.9375</v>
      </c>
      <c r="N128" s="250">
        <f t="shared" si="114"/>
        <v>843.9375</v>
      </c>
      <c r="O128" s="250">
        <f t="shared" si="114"/>
        <v>843.9375</v>
      </c>
      <c r="P128" s="250">
        <f t="shared" si="114"/>
        <v>1760.6041666666665</v>
      </c>
      <c r="Q128" s="250">
        <f t="shared" si="114"/>
        <v>1760.6041666666665</v>
      </c>
      <c r="R128" s="250">
        <f t="shared" si="114"/>
        <v>1760.6041666666665</v>
      </c>
      <c r="S128" s="250">
        <f t="shared" si="114"/>
        <v>1760.6041666666665</v>
      </c>
      <c r="T128" s="250">
        <f t="shared" si="114"/>
        <v>1760.6041666666665</v>
      </c>
      <c r="U128" s="250">
        <f t="shared" si="114"/>
        <v>1760.6041666666665</v>
      </c>
      <c r="V128" s="250">
        <f t="shared" si="114"/>
        <v>1760.6041666666665</v>
      </c>
      <c r="W128" s="250">
        <f t="shared" si="114"/>
        <v>1760.6041666666665</v>
      </c>
      <c r="X128" s="250">
        <f t="shared" si="114"/>
        <v>1760.6041666666665</v>
      </c>
      <c r="Y128" s="250">
        <f t="shared" si="114"/>
        <v>1760.6041666666665</v>
      </c>
      <c r="Z128" s="250">
        <f t="shared" si="114"/>
        <v>2520.833333333333</v>
      </c>
      <c r="AA128" s="250">
        <f t="shared" si="114"/>
        <v>2520.833333333333</v>
      </c>
      <c r="AB128" s="250">
        <f t="shared" si="114"/>
        <v>2520.833333333333</v>
      </c>
      <c r="AC128" s="250">
        <f t="shared" si="114"/>
        <v>4661.25</v>
      </c>
      <c r="AD128" s="250">
        <f t="shared" ref="AD128:CO128" si="115">SUMIF($D4:$D126,$H128,AD$4:AD$126)</f>
        <v>6233.3333333333339</v>
      </c>
      <c r="AE128" s="250">
        <f t="shared" si="115"/>
        <v>7733.3333333333339</v>
      </c>
      <c r="AF128" s="250">
        <f t="shared" si="115"/>
        <v>7733.3333333333339</v>
      </c>
      <c r="AG128" s="250">
        <f t="shared" si="115"/>
        <v>9108.3333333333339</v>
      </c>
      <c r="AH128" s="250">
        <f t="shared" si="115"/>
        <v>9108.3333333333339</v>
      </c>
      <c r="AI128" s="250">
        <f t="shared" si="115"/>
        <v>9901.25</v>
      </c>
      <c r="AJ128" s="250">
        <f t="shared" si="115"/>
        <v>9901.25</v>
      </c>
      <c r="AK128" s="250">
        <f t="shared" si="115"/>
        <v>10817.916666666666</v>
      </c>
      <c r="AL128" s="250">
        <f t="shared" si="115"/>
        <v>9901.25</v>
      </c>
      <c r="AM128" s="250">
        <f t="shared" si="115"/>
        <v>11817.916666666666</v>
      </c>
      <c r="AN128" s="250">
        <f t="shared" si="115"/>
        <v>12401.25</v>
      </c>
      <c r="AO128" s="250">
        <f t="shared" si="115"/>
        <v>9871.25</v>
      </c>
      <c r="AP128" s="250">
        <f t="shared" si="115"/>
        <v>9078.3333333333321</v>
      </c>
      <c r="AQ128" s="250">
        <f t="shared" si="115"/>
        <v>10078.333333333334</v>
      </c>
      <c r="AR128" s="250">
        <f t="shared" si="115"/>
        <v>9078.3333333333339</v>
      </c>
      <c r="AS128" s="250">
        <f t="shared" si="115"/>
        <v>8466.25</v>
      </c>
      <c r="AT128" s="250">
        <f t="shared" si="115"/>
        <v>8466.25</v>
      </c>
      <c r="AU128" s="250">
        <f>SUMIF($D4:$D126,$H128,AU$4:AU$126)</f>
        <v>10616.25</v>
      </c>
      <c r="AV128" s="250">
        <f t="shared" si="115"/>
        <v>15081.25</v>
      </c>
      <c r="AW128" s="366">
        <f t="shared" si="115"/>
        <v>14768.75</v>
      </c>
      <c r="AX128" s="366">
        <f t="shared" si="115"/>
        <v>14916.25</v>
      </c>
      <c r="AY128" s="366">
        <f t="shared" si="115"/>
        <v>11534.583333333334</v>
      </c>
      <c r="AZ128" s="366">
        <f t="shared" si="115"/>
        <v>13616.25</v>
      </c>
      <c r="BA128" s="366">
        <f t="shared" si="115"/>
        <v>10172.5</v>
      </c>
      <c r="BB128" s="366">
        <f t="shared" si="115"/>
        <v>14264.583333333332</v>
      </c>
      <c r="BC128" s="366">
        <f t="shared" si="115"/>
        <v>10224.583333333334</v>
      </c>
      <c r="BD128" s="366">
        <f t="shared" si="115"/>
        <v>8557.9166666666679</v>
      </c>
      <c r="BE128" s="366">
        <f>SUMIF($D4:$D126,$H128,BE$4:BE$126)</f>
        <v>8557.9166666666679</v>
      </c>
      <c r="BF128" s="366">
        <f>SUMIF($D4:$D126,$H128,BF$4:BF$126)</f>
        <v>8557.9166666666679</v>
      </c>
      <c r="BG128" s="366">
        <f t="shared" si="115"/>
        <v>6780</v>
      </c>
      <c r="BH128" s="366">
        <f t="shared" si="115"/>
        <v>8365.8333333333339</v>
      </c>
      <c r="BI128" s="366">
        <f t="shared" si="115"/>
        <v>6885.4166666666679</v>
      </c>
      <c r="BJ128" s="250">
        <f t="shared" si="115"/>
        <v>6885.4166666666679</v>
      </c>
      <c r="BK128" s="250">
        <f t="shared" si="115"/>
        <v>6885.4166666666679</v>
      </c>
      <c r="BL128" s="250">
        <f t="shared" si="115"/>
        <v>5968.75</v>
      </c>
      <c r="BM128" s="250">
        <f t="shared" si="115"/>
        <v>4593.75</v>
      </c>
      <c r="BN128" s="250">
        <f t="shared" si="115"/>
        <v>2472.5</v>
      </c>
      <c r="BO128" s="250">
        <f t="shared" si="115"/>
        <v>2472.5</v>
      </c>
      <c r="BP128" s="250">
        <f t="shared" si="115"/>
        <v>2472.5</v>
      </c>
      <c r="BQ128" s="250">
        <f t="shared" si="115"/>
        <v>1709.5833333333333</v>
      </c>
      <c r="BR128" s="250">
        <f t="shared" si="115"/>
        <v>1709.5833333333333</v>
      </c>
      <c r="BS128" s="250">
        <f t="shared" si="115"/>
        <v>916.66666666666663</v>
      </c>
      <c r="BT128" s="250">
        <f t="shared" si="115"/>
        <v>916.66666666666663</v>
      </c>
      <c r="BU128" s="250">
        <f t="shared" si="115"/>
        <v>0</v>
      </c>
      <c r="BV128" s="250">
        <f t="shared" si="115"/>
        <v>0</v>
      </c>
      <c r="BW128" s="250">
        <f t="shared" si="115"/>
        <v>0</v>
      </c>
      <c r="BX128" s="250">
        <f t="shared" si="115"/>
        <v>0</v>
      </c>
      <c r="BY128" s="250">
        <f t="shared" si="115"/>
        <v>0</v>
      </c>
      <c r="BZ128" s="250">
        <f t="shared" si="115"/>
        <v>0</v>
      </c>
      <c r="CA128" s="250">
        <f t="shared" si="115"/>
        <v>0</v>
      </c>
      <c r="CB128" s="250">
        <f t="shared" si="115"/>
        <v>0</v>
      </c>
      <c r="CC128" s="250">
        <f t="shared" si="115"/>
        <v>0</v>
      </c>
      <c r="CD128" s="250">
        <f t="shared" si="115"/>
        <v>0</v>
      </c>
      <c r="CE128" s="250">
        <f t="shared" si="115"/>
        <v>0</v>
      </c>
      <c r="CF128" s="250">
        <f t="shared" si="115"/>
        <v>0</v>
      </c>
      <c r="CG128" s="250">
        <f t="shared" si="115"/>
        <v>0</v>
      </c>
      <c r="CH128" s="250">
        <f t="shared" si="115"/>
        <v>0</v>
      </c>
      <c r="CI128" s="250">
        <f t="shared" si="115"/>
        <v>0</v>
      </c>
      <c r="CJ128" s="250">
        <f t="shared" si="115"/>
        <v>0</v>
      </c>
      <c r="CK128" s="250">
        <f t="shared" si="115"/>
        <v>0</v>
      </c>
      <c r="CL128" s="250">
        <f t="shared" si="115"/>
        <v>0</v>
      </c>
      <c r="CM128" s="250">
        <f t="shared" si="115"/>
        <v>0</v>
      </c>
      <c r="CN128" s="250">
        <f t="shared" si="115"/>
        <v>0</v>
      </c>
      <c r="CO128" s="250">
        <f t="shared" si="115"/>
        <v>0</v>
      </c>
      <c r="CP128" s="250">
        <f t="shared" ref="CP128:DP128" si="116">SUMIF($D4:$D126,$H128,CP$4:CP$126)</f>
        <v>0</v>
      </c>
      <c r="CQ128" s="250">
        <f t="shared" si="116"/>
        <v>0</v>
      </c>
      <c r="CR128" s="250">
        <f t="shared" si="116"/>
        <v>0</v>
      </c>
      <c r="CS128" s="250">
        <f t="shared" si="116"/>
        <v>0</v>
      </c>
      <c r="CT128" s="250">
        <f t="shared" si="116"/>
        <v>0</v>
      </c>
      <c r="CU128" s="250">
        <f t="shared" si="116"/>
        <v>0</v>
      </c>
      <c r="CV128" s="250">
        <f t="shared" si="116"/>
        <v>0</v>
      </c>
      <c r="CW128" s="250">
        <f t="shared" si="116"/>
        <v>0</v>
      </c>
      <c r="CX128" s="250">
        <f t="shared" si="116"/>
        <v>0</v>
      </c>
      <c r="CY128" s="250">
        <f t="shared" si="116"/>
        <v>0</v>
      </c>
      <c r="CZ128" s="250">
        <f t="shared" si="116"/>
        <v>0</v>
      </c>
      <c r="DA128" s="250">
        <f t="shared" si="116"/>
        <v>0</v>
      </c>
      <c r="DB128" s="250">
        <f t="shared" si="116"/>
        <v>0</v>
      </c>
      <c r="DC128" s="250">
        <f t="shared" si="116"/>
        <v>0</v>
      </c>
      <c r="DD128" s="250">
        <f t="shared" si="116"/>
        <v>0</v>
      </c>
      <c r="DE128" s="250">
        <f t="shared" si="116"/>
        <v>0</v>
      </c>
      <c r="DF128" s="250">
        <f t="shared" si="116"/>
        <v>0</v>
      </c>
      <c r="DG128" s="250">
        <f t="shared" si="116"/>
        <v>0</v>
      </c>
      <c r="DH128" s="250">
        <f t="shared" si="116"/>
        <v>0</v>
      </c>
      <c r="DI128" s="250">
        <f t="shared" si="116"/>
        <v>0</v>
      </c>
      <c r="DJ128" s="250">
        <f t="shared" si="116"/>
        <v>0</v>
      </c>
      <c r="DK128" s="250">
        <f t="shared" si="116"/>
        <v>0</v>
      </c>
      <c r="DL128" s="250">
        <f t="shared" si="116"/>
        <v>0</v>
      </c>
      <c r="DM128" s="250">
        <f t="shared" si="116"/>
        <v>0</v>
      </c>
      <c r="DN128" s="250">
        <f t="shared" si="116"/>
        <v>0</v>
      </c>
      <c r="DO128" s="250">
        <f t="shared" si="116"/>
        <v>0</v>
      </c>
      <c r="DP128" s="250">
        <f t="shared" si="116"/>
        <v>0</v>
      </c>
    </row>
    <row r="129" spans="8:120" x14ac:dyDescent="0.3">
      <c r="H129" t="s">
        <v>117</v>
      </c>
      <c r="I129" s="250">
        <f t="shared" ref="I129:AB129" si="117">SUMIF($D4:$D47,$H129,I$4:I$47)</f>
        <v>250</v>
      </c>
      <c r="J129" s="250">
        <f t="shared" si="117"/>
        <v>1044.1666666666667</v>
      </c>
      <c r="K129" s="250">
        <f t="shared" si="117"/>
        <v>1422.9166666666667</v>
      </c>
      <c r="L129" s="250">
        <f t="shared" si="117"/>
        <v>1506.25</v>
      </c>
      <c r="M129" s="250">
        <f t="shared" si="117"/>
        <v>1619.5833333333333</v>
      </c>
      <c r="N129" s="250">
        <f t="shared" si="117"/>
        <v>1869.5833333333333</v>
      </c>
      <c r="O129" s="250">
        <f t="shared" si="117"/>
        <v>2119.583333333333</v>
      </c>
      <c r="P129" s="250">
        <f t="shared" si="117"/>
        <v>3447.9999999999991</v>
      </c>
      <c r="Q129" s="250">
        <f t="shared" si="117"/>
        <v>3822.9999999999991</v>
      </c>
      <c r="R129" s="250">
        <f t="shared" si="117"/>
        <v>4231.3333333333321</v>
      </c>
      <c r="S129" s="250">
        <f t="shared" si="117"/>
        <v>4231.3333333333321</v>
      </c>
      <c r="T129" s="250">
        <f t="shared" si="117"/>
        <v>4547.9999999999991</v>
      </c>
      <c r="U129" s="250">
        <f t="shared" si="117"/>
        <v>18628</v>
      </c>
      <c r="V129" s="250">
        <f t="shared" si="117"/>
        <v>4465.4999999999991</v>
      </c>
      <c r="W129" s="250">
        <f t="shared" si="117"/>
        <v>4840.4999999999991</v>
      </c>
      <c r="X129" s="250">
        <f t="shared" si="117"/>
        <v>5190.4999999999991</v>
      </c>
      <c r="Y129" s="250">
        <f t="shared" si="117"/>
        <v>5190.4999999999991</v>
      </c>
      <c r="Z129" s="250">
        <f t="shared" si="117"/>
        <v>5357.1666666666661</v>
      </c>
      <c r="AA129" s="250">
        <f t="shared" si="117"/>
        <v>5357.1666666666661</v>
      </c>
      <c r="AB129" s="250">
        <f t="shared" si="117"/>
        <v>5357.1666666666661</v>
      </c>
      <c r="AC129" s="250">
        <f>SUMIF($D4:$D47,$H129,AC$4:AC$126)</f>
        <v>5911.333333333333</v>
      </c>
      <c r="AD129" s="250">
        <f t="shared" ref="AD129:CO129" si="118">SUMIF($D4:$D126,$H129,AD$4:AD$126)</f>
        <v>6698.833333333333</v>
      </c>
      <c r="AE129" s="250">
        <f t="shared" si="118"/>
        <v>8453</v>
      </c>
      <c r="AF129" s="250">
        <f t="shared" si="118"/>
        <v>8453</v>
      </c>
      <c r="AG129" s="250">
        <f t="shared" si="118"/>
        <v>9203</v>
      </c>
      <c r="AH129" s="250">
        <f t="shared" si="118"/>
        <v>9407.1666666666661</v>
      </c>
      <c r="AI129" s="250">
        <f t="shared" si="118"/>
        <v>9607.1666666666661</v>
      </c>
      <c r="AJ129" s="250">
        <f t="shared" si="118"/>
        <v>9848.8333333333321</v>
      </c>
      <c r="AK129" s="250">
        <f t="shared" si="118"/>
        <v>10398.833333333332</v>
      </c>
      <c r="AL129" s="250">
        <f t="shared" si="118"/>
        <v>11061.33333333333</v>
      </c>
      <c r="AM129" s="250">
        <f t="shared" si="118"/>
        <v>11265.499999999996</v>
      </c>
      <c r="AN129" s="250">
        <f t="shared" si="118"/>
        <v>11265.499999999996</v>
      </c>
      <c r="AO129" s="250">
        <f t="shared" si="118"/>
        <v>11807.166666666664</v>
      </c>
      <c r="AP129" s="250">
        <f t="shared" si="118"/>
        <v>13225.666666666666</v>
      </c>
      <c r="AQ129" s="250">
        <f t="shared" si="118"/>
        <v>13109</v>
      </c>
      <c r="AR129" s="250">
        <f t="shared" si="118"/>
        <v>13109</v>
      </c>
      <c r="AS129" s="250">
        <f t="shared" si="118"/>
        <v>13109</v>
      </c>
      <c r="AT129" s="250">
        <f t="shared" si="118"/>
        <v>13109</v>
      </c>
      <c r="AU129" s="250">
        <f t="shared" si="118"/>
        <v>13109</v>
      </c>
      <c r="AV129" s="250">
        <f t="shared" si="118"/>
        <v>13109</v>
      </c>
      <c r="AW129" s="366">
        <f t="shared" si="118"/>
        <v>12942.333333333334</v>
      </c>
      <c r="AX129" s="366">
        <f t="shared" si="118"/>
        <v>12942.333333333334</v>
      </c>
      <c r="AY129" s="366">
        <f t="shared" si="118"/>
        <v>12942.333333333334</v>
      </c>
      <c r="AZ129" s="366">
        <f t="shared" si="118"/>
        <v>12942.333333333334</v>
      </c>
      <c r="BA129" s="366">
        <f t="shared" si="118"/>
        <v>13325.666666666666</v>
      </c>
      <c r="BB129" s="366">
        <f t="shared" si="118"/>
        <v>13921.499999999998</v>
      </c>
      <c r="BC129" s="366">
        <f t="shared" si="118"/>
        <v>13921.499999999998</v>
      </c>
      <c r="BD129" s="366">
        <f t="shared" si="118"/>
        <v>13921.499999999998</v>
      </c>
      <c r="BE129" s="366">
        <f t="shared" si="118"/>
        <v>13921.499999999998</v>
      </c>
      <c r="BF129" s="366">
        <f>SUMIF($D4:$D126,$H129,BF$4:BF$126)</f>
        <v>14268.166666666664</v>
      </c>
      <c r="BG129" s="366">
        <f t="shared" si="118"/>
        <v>14268.166666666664</v>
      </c>
      <c r="BH129" s="366">
        <f t="shared" si="118"/>
        <v>14418.166666666666</v>
      </c>
      <c r="BI129" s="366">
        <f t="shared" si="118"/>
        <v>14418.166666666666</v>
      </c>
      <c r="BJ129" s="250">
        <f t="shared" si="118"/>
        <v>14418.166666666666</v>
      </c>
      <c r="BK129" s="250">
        <f t="shared" si="118"/>
        <v>14043.166666666666</v>
      </c>
      <c r="BL129" s="250">
        <f t="shared" si="118"/>
        <v>14043.166666666666</v>
      </c>
      <c r="BM129" s="250">
        <f t="shared" si="118"/>
        <v>14043.166666666666</v>
      </c>
      <c r="BN129" s="250">
        <f t="shared" si="118"/>
        <v>14043.166666666666</v>
      </c>
      <c r="BO129" s="250">
        <f t="shared" si="118"/>
        <v>14043.166666666666</v>
      </c>
      <c r="BP129" s="250">
        <f t="shared" si="118"/>
        <v>14043.166666666666</v>
      </c>
      <c r="BQ129" s="250">
        <f t="shared" si="118"/>
        <v>13793.166666666668</v>
      </c>
      <c r="BR129" s="250">
        <f t="shared" si="118"/>
        <v>12999.000000000004</v>
      </c>
      <c r="BS129" s="250">
        <f t="shared" si="118"/>
        <v>12620.250000000004</v>
      </c>
      <c r="BT129" s="250">
        <f t="shared" si="118"/>
        <v>12536.91666666667</v>
      </c>
      <c r="BU129" s="250">
        <f t="shared" si="118"/>
        <v>12423.583333333338</v>
      </c>
      <c r="BV129" s="250">
        <f t="shared" si="118"/>
        <v>12173.583333333336</v>
      </c>
      <c r="BW129" s="250">
        <f t="shared" si="118"/>
        <v>11923.583333333334</v>
      </c>
      <c r="BX129" s="250">
        <f t="shared" si="118"/>
        <v>10852.666666666666</v>
      </c>
      <c r="BY129" s="250">
        <f t="shared" si="118"/>
        <v>10477.666666666664</v>
      </c>
      <c r="BZ129" s="250">
        <f t="shared" si="118"/>
        <v>10069.333333333328</v>
      </c>
      <c r="CA129" s="250">
        <f t="shared" si="118"/>
        <v>10069.333333333328</v>
      </c>
      <c r="CB129" s="250">
        <f t="shared" si="118"/>
        <v>9752.6666666666642</v>
      </c>
      <c r="CC129" s="250">
        <f t="shared" si="118"/>
        <v>9577.6666666666642</v>
      </c>
      <c r="CD129" s="250">
        <f t="shared" si="118"/>
        <v>9577.6666666666642</v>
      </c>
      <c r="CE129" s="250">
        <f t="shared" si="118"/>
        <v>9202.6666666666642</v>
      </c>
      <c r="CF129" s="250">
        <f t="shared" si="118"/>
        <v>8852.6666666666642</v>
      </c>
      <c r="CG129" s="250">
        <f t="shared" si="118"/>
        <v>8852.6666666666642</v>
      </c>
      <c r="CH129" s="250">
        <f t="shared" si="118"/>
        <v>8685.9999999999982</v>
      </c>
      <c r="CI129" s="250">
        <f t="shared" si="118"/>
        <v>8685.9999999999982</v>
      </c>
      <c r="CJ129" s="250">
        <f t="shared" si="118"/>
        <v>8685.9999999999982</v>
      </c>
      <c r="CK129" s="250">
        <f t="shared" si="118"/>
        <v>8131.8333333333321</v>
      </c>
      <c r="CL129" s="250">
        <f t="shared" si="118"/>
        <v>7344.3333333333339</v>
      </c>
      <c r="CM129" s="250">
        <f t="shared" si="118"/>
        <v>6590.1666666666679</v>
      </c>
      <c r="CN129" s="250">
        <f t="shared" si="118"/>
        <v>6590.1666666666679</v>
      </c>
      <c r="CO129" s="250">
        <f t="shared" si="118"/>
        <v>6215.1666666666688</v>
      </c>
      <c r="CP129" s="250">
        <f t="shared" ref="CP129:DP129" si="119">SUMIF($D4:$D126,$H129,CP$4:CP$126)</f>
        <v>6011.0000000000018</v>
      </c>
      <c r="CQ129" s="250">
        <f t="shared" si="119"/>
        <v>5811.0000000000018</v>
      </c>
      <c r="CR129" s="250">
        <f t="shared" si="119"/>
        <v>5569.3333333333348</v>
      </c>
      <c r="CS129" s="250">
        <f t="shared" si="119"/>
        <v>5186.0000000000009</v>
      </c>
      <c r="CT129" s="250">
        <f t="shared" si="119"/>
        <v>4523.4999999999991</v>
      </c>
      <c r="CU129" s="250">
        <f t="shared" si="119"/>
        <v>4319.3333333333321</v>
      </c>
      <c r="CV129" s="250">
        <f t="shared" si="119"/>
        <v>4319.3333333333321</v>
      </c>
      <c r="CW129" s="250">
        <f t="shared" si="119"/>
        <v>3777.6666666666656</v>
      </c>
      <c r="CX129" s="250">
        <f t="shared" si="119"/>
        <v>2359.166666666667</v>
      </c>
      <c r="CY129" s="250">
        <f t="shared" si="119"/>
        <v>1475.8333333333333</v>
      </c>
      <c r="CZ129" s="250">
        <f t="shared" si="119"/>
        <v>1475.8333333333333</v>
      </c>
      <c r="DA129" s="250">
        <f t="shared" si="119"/>
        <v>1475.8333333333333</v>
      </c>
      <c r="DB129" s="250">
        <f t="shared" si="119"/>
        <v>1475.8333333333333</v>
      </c>
      <c r="DC129" s="250">
        <f t="shared" si="119"/>
        <v>1475.8333333333333</v>
      </c>
      <c r="DD129" s="250">
        <f t="shared" si="119"/>
        <v>1475.8333333333333</v>
      </c>
      <c r="DE129" s="250">
        <f t="shared" si="119"/>
        <v>1475.8333333333333</v>
      </c>
      <c r="DF129" s="250">
        <f t="shared" si="119"/>
        <v>1475.8333333333333</v>
      </c>
      <c r="DG129" s="250">
        <f t="shared" si="119"/>
        <v>1475.8333333333333</v>
      </c>
      <c r="DH129" s="250">
        <f t="shared" si="119"/>
        <v>1475.8333333333333</v>
      </c>
      <c r="DI129" s="250">
        <f t="shared" si="119"/>
        <v>1092.5</v>
      </c>
      <c r="DJ129" s="250">
        <f t="shared" si="119"/>
        <v>496.66666666666663</v>
      </c>
      <c r="DK129" s="250">
        <f t="shared" si="119"/>
        <v>496.66666666666663</v>
      </c>
      <c r="DL129" s="250">
        <f t="shared" si="119"/>
        <v>496.66666666666663</v>
      </c>
      <c r="DM129" s="250">
        <f t="shared" si="119"/>
        <v>496.66666666666663</v>
      </c>
      <c r="DN129" s="250">
        <f t="shared" si="119"/>
        <v>150</v>
      </c>
      <c r="DO129" s="250">
        <f t="shared" si="119"/>
        <v>150</v>
      </c>
      <c r="DP129" s="250">
        <f t="shared" si="119"/>
        <v>0</v>
      </c>
    </row>
    <row r="132" spans="8:120" x14ac:dyDescent="0.3">
      <c r="H132" t="s">
        <v>256</v>
      </c>
      <c r="I132" s="11">
        <f>I127</f>
        <v>250</v>
      </c>
      <c r="J132" s="11">
        <f t="shared" ref="J132:BU132" si="120">J127+I132</f>
        <v>2138.104166666667</v>
      </c>
      <c r="K132" s="11">
        <f t="shared" si="120"/>
        <v>4404.9583333333339</v>
      </c>
      <c r="L132" s="11">
        <f t="shared" si="120"/>
        <v>6755.1458333333339</v>
      </c>
      <c r="M132" s="11">
        <f t="shared" si="120"/>
        <v>9218.6666666666679</v>
      </c>
      <c r="N132" s="11">
        <f t="shared" si="120"/>
        <v>11932.187500000002</v>
      </c>
      <c r="O132" s="11">
        <f t="shared" si="120"/>
        <v>14895.708333333336</v>
      </c>
      <c r="P132" s="11">
        <f t="shared" si="120"/>
        <v>20104.312500000004</v>
      </c>
      <c r="Q132" s="11">
        <f t="shared" si="120"/>
        <v>25687.916666666672</v>
      </c>
      <c r="R132" s="11">
        <f t="shared" si="120"/>
        <v>31679.854166666672</v>
      </c>
      <c r="S132" s="11">
        <f t="shared" si="120"/>
        <v>37671.791666666672</v>
      </c>
      <c r="T132" s="11">
        <f t="shared" si="120"/>
        <v>43980.395833333343</v>
      </c>
      <c r="U132" s="11">
        <f t="shared" si="120"/>
        <v>64369.000000000015</v>
      </c>
      <c r="V132" s="11">
        <f t="shared" si="120"/>
        <v>70595.104166666686</v>
      </c>
      <c r="W132" s="11">
        <f t="shared" si="120"/>
        <v>77196.208333333358</v>
      </c>
      <c r="X132" s="11">
        <f t="shared" si="120"/>
        <v>84147.312500000029</v>
      </c>
      <c r="Y132" s="11">
        <f t="shared" si="120"/>
        <v>91098.416666666701</v>
      </c>
      <c r="Z132" s="11">
        <f t="shared" si="120"/>
        <v>98976.416666666701</v>
      </c>
      <c r="AA132" s="11">
        <f t="shared" si="120"/>
        <v>106854.4166666667</v>
      </c>
      <c r="AB132" s="11">
        <f t="shared" si="120"/>
        <v>114732.4166666667</v>
      </c>
      <c r="AC132" s="11">
        <f t="shared" si="120"/>
        <v>125305.00000000003</v>
      </c>
      <c r="AD132" s="11">
        <f t="shared" si="120"/>
        <v>138237.16666666669</v>
      </c>
      <c r="AE132" s="11">
        <f t="shared" si="120"/>
        <v>154423.50000000003</v>
      </c>
      <c r="AF132" s="11">
        <f t="shared" si="120"/>
        <v>170609.83333333337</v>
      </c>
      <c r="AG132" s="11">
        <f t="shared" si="120"/>
        <v>188921.16666666669</v>
      </c>
      <c r="AH132" s="11">
        <f t="shared" si="120"/>
        <v>207436.66666666669</v>
      </c>
      <c r="AI132" s="11">
        <f t="shared" si="120"/>
        <v>226945.08333333334</v>
      </c>
      <c r="AJ132" s="11">
        <f t="shared" si="120"/>
        <v>246695.16666666669</v>
      </c>
      <c r="AK132" s="11">
        <f t="shared" si="120"/>
        <v>267911.91666666669</v>
      </c>
      <c r="AL132" s="11">
        <f t="shared" si="120"/>
        <v>288874.5</v>
      </c>
      <c r="AM132" s="11">
        <f t="shared" si="120"/>
        <v>311957.91666666669</v>
      </c>
      <c r="AN132" s="11">
        <f t="shared" si="120"/>
        <v>335624.66666666669</v>
      </c>
      <c r="AO132" s="11">
        <f t="shared" si="120"/>
        <v>357303.08333333337</v>
      </c>
      <c r="AP132" s="11">
        <f t="shared" si="120"/>
        <v>379607.08333333337</v>
      </c>
      <c r="AQ132" s="11">
        <f t="shared" si="120"/>
        <v>402794.41666666669</v>
      </c>
      <c r="AR132" s="11">
        <f t="shared" si="120"/>
        <v>424981.75</v>
      </c>
      <c r="AS132" s="11">
        <f t="shared" si="120"/>
        <v>446557</v>
      </c>
      <c r="AT132" s="11">
        <f t="shared" si="120"/>
        <v>468132.25</v>
      </c>
      <c r="AU132" s="11">
        <f t="shared" si="120"/>
        <v>491857.5</v>
      </c>
      <c r="AV132" s="11">
        <f t="shared" si="120"/>
        <v>520047.75</v>
      </c>
      <c r="AW132" s="208">
        <f t="shared" si="120"/>
        <v>547758.83333333337</v>
      </c>
      <c r="AX132" s="208">
        <f t="shared" si="120"/>
        <v>575617.41666666674</v>
      </c>
      <c r="AY132" s="208">
        <f t="shared" si="120"/>
        <v>600094.33333333337</v>
      </c>
      <c r="AZ132" s="208">
        <f t="shared" si="120"/>
        <v>626652.91666666674</v>
      </c>
      <c r="BA132" s="208">
        <f t="shared" si="120"/>
        <v>650151.08333333337</v>
      </c>
      <c r="BB132" s="208">
        <f t="shared" si="120"/>
        <v>678337.16666666674</v>
      </c>
      <c r="BC132" s="208">
        <f t="shared" si="120"/>
        <v>702483.25000000012</v>
      </c>
      <c r="BD132" s="208">
        <f t="shared" si="120"/>
        <v>724962.66666666674</v>
      </c>
      <c r="BE132" s="208">
        <f t="shared" si="120"/>
        <v>747442.08333333337</v>
      </c>
      <c r="BF132" s="208">
        <f t="shared" si="120"/>
        <v>770268.16666666674</v>
      </c>
      <c r="BG132" s="208">
        <f t="shared" si="120"/>
        <v>791316.33333333337</v>
      </c>
      <c r="BH132" s="208">
        <f t="shared" si="120"/>
        <v>814100.33333333337</v>
      </c>
      <c r="BI132" s="208">
        <f t="shared" si="120"/>
        <v>835403.91666666674</v>
      </c>
      <c r="BJ132" s="11">
        <f t="shared" si="120"/>
        <v>856707.50000000012</v>
      </c>
      <c r="BK132" s="11">
        <f t="shared" si="120"/>
        <v>877636.08333333349</v>
      </c>
      <c r="BL132" s="11">
        <f t="shared" si="120"/>
        <v>897648.00000000012</v>
      </c>
      <c r="BM132" s="11">
        <f t="shared" si="120"/>
        <v>916284.91666666674</v>
      </c>
      <c r="BN132" s="11">
        <f t="shared" si="120"/>
        <v>932800.58333333337</v>
      </c>
      <c r="BO132" s="11">
        <f t="shared" si="120"/>
        <v>949316.25</v>
      </c>
      <c r="BP132" s="11">
        <f t="shared" si="120"/>
        <v>965831.91666666663</v>
      </c>
      <c r="BQ132" s="11">
        <f t="shared" si="120"/>
        <v>981334.66666666663</v>
      </c>
      <c r="BR132" s="11">
        <f t="shared" si="120"/>
        <v>996043.25</v>
      </c>
      <c r="BS132" s="11">
        <f t="shared" si="120"/>
        <v>1009580.1666666666</v>
      </c>
      <c r="BT132" s="11">
        <f t="shared" si="120"/>
        <v>1023033.75</v>
      </c>
      <c r="BU132" s="11">
        <f t="shared" si="120"/>
        <v>1035457.3333333334</v>
      </c>
      <c r="BV132" s="11">
        <f t="shared" ref="BV132:DP132" si="121">BV127+BU132</f>
        <v>1047630.9166666667</v>
      </c>
      <c r="BW132" s="11">
        <f t="shared" si="121"/>
        <v>1059554.5</v>
      </c>
      <c r="BX132" s="11">
        <f t="shared" si="121"/>
        <v>1070407.1666666667</v>
      </c>
      <c r="BY132" s="11">
        <f t="shared" si="121"/>
        <v>1080884.8333333335</v>
      </c>
      <c r="BZ132" s="11">
        <f t="shared" si="121"/>
        <v>1090954.1666666667</v>
      </c>
      <c r="CA132" s="11">
        <f t="shared" si="121"/>
        <v>1101023.5</v>
      </c>
      <c r="CB132" s="11">
        <f t="shared" si="121"/>
        <v>1110776.1666666667</v>
      </c>
      <c r="CC132" s="11">
        <f t="shared" si="121"/>
        <v>1120353.8333333335</v>
      </c>
      <c r="CD132" s="11">
        <f t="shared" si="121"/>
        <v>1129931.5000000002</v>
      </c>
      <c r="CE132" s="11">
        <f t="shared" si="121"/>
        <v>1139134.166666667</v>
      </c>
      <c r="CF132" s="11">
        <f t="shared" si="121"/>
        <v>1147986.8333333337</v>
      </c>
      <c r="CG132" s="11">
        <f t="shared" si="121"/>
        <v>1156839.5000000005</v>
      </c>
      <c r="CH132" s="11">
        <f t="shared" si="121"/>
        <v>1165525.5000000005</v>
      </c>
      <c r="CI132" s="11">
        <f t="shared" si="121"/>
        <v>1174211.5000000005</v>
      </c>
      <c r="CJ132" s="11">
        <f t="shared" si="121"/>
        <v>1182897.5000000005</v>
      </c>
      <c r="CK132" s="11">
        <f t="shared" si="121"/>
        <v>1191029.3333333337</v>
      </c>
      <c r="CL132" s="11">
        <f t="shared" si="121"/>
        <v>1198373.666666667</v>
      </c>
      <c r="CM132" s="11">
        <f t="shared" si="121"/>
        <v>1204963.8333333337</v>
      </c>
      <c r="CN132" s="11">
        <f t="shared" si="121"/>
        <v>1211554.0000000005</v>
      </c>
      <c r="CO132" s="11">
        <f t="shared" si="121"/>
        <v>1217769.1666666672</v>
      </c>
      <c r="CP132" s="11">
        <f t="shared" si="121"/>
        <v>1223780.1666666672</v>
      </c>
      <c r="CQ132" s="11">
        <f t="shared" si="121"/>
        <v>1229591.1666666672</v>
      </c>
      <c r="CR132" s="11">
        <f t="shared" si="121"/>
        <v>1235160.5000000005</v>
      </c>
      <c r="CS132" s="11">
        <f t="shared" si="121"/>
        <v>1240346.5000000005</v>
      </c>
      <c r="CT132" s="11">
        <f t="shared" si="121"/>
        <v>1244870.0000000005</v>
      </c>
      <c r="CU132" s="11">
        <f t="shared" si="121"/>
        <v>1249189.3333333337</v>
      </c>
      <c r="CV132" s="11">
        <f t="shared" si="121"/>
        <v>1253508.666666667</v>
      </c>
      <c r="CW132" s="11">
        <f t="shared" si="121"/>
        <v>1257286.3333333337</v>
      </c>
      <c r="CX132" s="11">
        <f t="shared" si="121"/>
        <v>1259645.5000000005</v>
      </c>
      <c r="CY132" s="11">
        <f t="shared" si="121"/>
        <v>1261121.3333333337</v>
      </c>
      <c r="CZ132" s="11">
        <f t="shared" si="121"/>
        <v>1262597.166666667</v>
      </c>
      <c r="DA132" s="11">
        <f t="shared" si="121"/>
        <v>1264073.0000000002</v>
      </c>
      <c r="DB132" s="11">
        <f t="shared" si="121"/>
        <v>1265548.8333333335</v>
      </c>
      <c r="DC132" s="11">
        <f t="shared" si="121"/>
        <v>1267024.6666666667</v>
      </c>
      <c r="DD132" s="11">
        <f t="shared" si="121"/>
        <v>1268500.5</v>
      </c>
      <c r="DE132" s="11">
        <f t="shared" si="121"/>
        <v>1269976.3333333333</v>
      </c>
      <c r="DF132" s="11">
        <f t="shared" si="121"/>
        <v>1271452.1666666665</v>
      </c>
      <c r="DG132" s="11">
        <f t="shared" si="121"/>
        <v>1272927.9999999998</v>
      </c>
      <c r="DH132" s="11">
        <f t="shared" si="121"/>
        <v>1274403.833333333</v>
      </c>
      <c r="DI132" s="11">
        <f t="shared" si="121"/>
        <v>1275496.333333333</v>
      </c>
      <c r="DJ132" s="11">
        <f t="shared" si="121"/>
        <v>1275992.9999999998</v>
      </c>
      <c r="DK132" s="11">
        <f t="shared" si="121"/>
        <v>1276489.6666666665</v>
      </c>
      <c r="DL132" s="11">
        <f t="shared" si="121"/>
        <v>1276986.3333333333</v>
      </c>
      <c r="DM132" s="11">
        <f t="shared" si="121"/>
        <v>1277483</v>
      </c>
      <c r="DN132" s="11">
        <f t="shared" si="121"/>
        <v>1277633</v>
      </c>
      <c r="DO132" s="11">
        <f t="shared" si="121"/>
        <v>1277783</v>
      </c>
      <c r="DP132" s="11">
        <f t="shared" si="121"/>
        <v>1277783</v>
      </c>
    </row>
    <row r="133" spans="8:120" ht="15" thickBot="1" x14ac:dyDescent="0.35">
      <c r="H133" t="s">
        <v>118</v>
      </c>
      <c r="I133" s="251">
        <f>SUMIF($B$4:$B47,"&lt;=" &amp;I$3,$E$4:$E47)-I$132</f>
        <v>14750</v>
      </c>
      <c r="J133" s="251">
        <f>SUMIF($B$4:$B47,"&lt;=" &amp;J$3,$E$4:$E47)-J$132</f>
        <v>74014.895833333328</v>
      </c>
      <c r="K133" s="251">
        <f>SUMIF($B$4:$B47,"&lt;=" &amp;K$3,$E$4:$E47)-K$132</f>
        <v>94473.041666666672</v>
      </c>
      <c r="L133" s="251">
        <f>SUMIF($B$4:$B47,"&lt;=" &amp;L$3,$E$4:$E47)-L$132</f>
        <v>97122.854166666672</v>
      </c>
      <c r="M133" s="251">
        <f>SUMIF($B$4:$B47,"&lt;=" &amp;M$3,$E$4:$E47)-M$132</f>
        <v>101459.33333333333</v>
      </c>
      <c r="N133" s="251">
        <f>SUMIF($B$4:$B47,"&lt;=" &amp;N$3,$E$4:$E47)-N$132</f>
        <v>113745.8125</v>
      </c>
      <c r="O133" s="251">
        <f>SUMIF($B$4:$B47,"&lt;=" &amp;O$3,$E$4:$E47)-O$132</f>
        <v>110782.29166666666</v>
      </c>
      <c r="P133" s="251">
        <f>SUMIF($B$4:$B47,"&lt;=" &amp;P$3,$E$4:$E47)-P$132</f>
        <v>211278.6875</v>
      </c>
      <c r="Q133" s="251">
        <f>SUMIF($B$4:$B47,"&lt;=" &amp;Q$3,$E$4:$E47)-Q$132</f>
        <v>228195.08333333331</v>
      </c>
      <c r="R133" s="251">
        <f>SUMIF($B$4:$B47,"&lt;=" &amp;R$3,$E$4:$E47)-R$132</f>
        <v>246703.14583333331</v>
      </c>
      <c r="S133" s="251">
        <f>SUMIF($B$4:$B47,"&lt;=" &amp;S$3,$E$4:$E47)-S$132</f>
        <v>240711.20833333331</v>
      </c>
      <c r="T133" s="251">
        <f>SUMIF($B$4:$B47,"&lt;=" &amp;T$3,$E$4:$E47)-T$132</f>
        <v>253402.60416666666</v>
      </c>
      <c r="U133" s="251">
        <f>SUMIF($B$4:$B47,"&lt;=" &amp;U$3,$E$4:$E47)-U$132</f>
        <v>243514</v>
      </c>
      <c r="V133" s="251">
        <f>SUMIF($B$4:$B47,"&lt;=" &amp;V$3,$E$4:$E47)-V$132</f>
        <v>237287.89583333331</v>
      </c>
      <c r="W133" s="251">
        <f>SUMIF($B$4:$B47,"&lt;=" &amp;W$3,$E$4:$E47)-W$132</f>
        <v>253186.79166666663</v>
      </c>
      <c r="X133" s="251">
        <f>SUMIF($B$4:$B47,"&lt;=" &amp;X$3,$E$4:$E47)-X$132</f>
        <v>267235.6875</v>
      </c>
      <c r="Y133" s="251">
        <f>SUMIF($B$4:$B47,"&lt;=" &amp;Y$3,$E$4:$E47)-Y$132</f>
        <v>260284.58333333331</v>
      </c>
      <c r="Z133" s="251">
        <f>SUMIF($B$4:$B47,"&lt;=" &amp;Z$3,$E$4:$E47)-Z$132</f>
        <v>281656.58333333331</v>
      </c>
      <c r="AA133" s="251">
        <f>SUMIF($B$4:$B47,"&lt;=" &amp;AA$3,$E$4:$E47)-AA$132</f>
        <v>273778.58333333331</v>
      </c>
      <c r="AB133" s="251">
        <f>SUMIF($B$4:$B47,"&lt;=" &amp;AB$3,$E$4:$E47)-AB$132</f>
        <v>297900.58333333331</v>
      </c>
      <c r="AC133" s="251">
        <f>SUMIF($B$4:$B47,"&lt;=" &amp;AC$3,$E$4:$E47)-AC$132</f>
        <v>355263</v>
      </c>
      <c r="AD133" s="251">
        <f>SUMIF($B$4:$B52,"&lt;=" &amp;AD$3,$E$4:$E52)-AD$132</f>
        <v>396195.83333333331</v>
      </c>
      <c r="AE133" s="251">
        <f>SUMIF($B$4:$B55,"&lt;=" &amp;AE$3,$E$4:$E55)-AE$132</f>
        <v>425259.5</v>
      </c>
      <c r="AF133" s="251">
        <f>SUMIF($B$4:$B55,"&lt;=" &amp;AF$3,$E$4:$E55)-AF$132</f>
        <v>409073.16666666663</v>
      </c>
      <c r="AG133" s="251">
        <f>SUMIF($B$4:$B58,"&lt;=" &amp;AG$3,$E$4:$E58)-AG$132</f>
        <v>441011.83333333331</v>
      </c>
      <c r="AH133" s="251">
        <f>SUMIF($B$4:$B126,"&lt;=" &amp;AH$3,$E$4:$E126)-AH$132</f>
        <v>443246.33333333331</v>
      </c>
      <c r="AI133" s="251">
        <f>SUMIF($B$4:$B126,"&lt;=" &amp;AI$3,$E$4:$E126)-AI$132+E62</f>
        <v>459752.91666666663</v>
      </c>
      <c r="AJ133" s="251">
        <f>SUMIF($B$4:$B126,"&lt;=" &amp;AJ$3,$E$4:$E126)-AJ$132</f>
        <v>440002.83333333331</v>
      </c>
      <c r="AK133" s="251">
        <f>SUMIF($B$4:$B126,"&lt;=" &amp;AK$3,$E$4:$E126)-AK$132</f>
        <v>471036.08333333331</v>
      </c>
      <c r="AL133" s="251">
        <f>SUMIF($B$4:$B126,"&lt;=" &amp;AL$3,$E$4:$E126)-AL$132</f>
        <v>482323.5</v>
      </c>
      <c r="AM133" s="251">
        <f>SUMIF($B$4:$B126,"&lt;=" &amp;AM$3,$E$4:$E126)-AM$132</f>
        <v>484990.08333333331</v>
      </c>
      <c r="AN133" s="251">
        <f>SUMIF($B$4:$B126,"&lt;=" &amp;AN$3,$E$4:$E126)-AN$132</f>
        <v>461323.33333333331</v>
      </c>
      <c r="AO133" s="251">
        <f>SUMIF($B$4:$B126,"&lt;=" &amp;AO$3,$E$4:$E126)-AO$132</f>
        <v>505469.91666666663</v>
      </c>
      <c r="AP133" s="251">
        <f>SUMIF($B$4:$B126,"&lt;=" &amp;AP$3,$E$4:$E126)-AP$132</f>
        <v>613375.91666666663</v>
      </c>
      <c r="AQ133" s="251">
        <f>SUMIF($B$4:$B126,"&lt;=" &amp;AQ$3,$E$4:$E126)-AQ$132</f>
        <v>630688.58333333326</v>
      </c>
      <c r="AR133" s="251">
        <f>SUMIF($B$4:$B126,"&lt;=" &amp;AR$3,$E$4:$E126)-AR$132</f>
        <v>608501.25</v>
      </c>
      <c r="AS133" s="251">
        <f>SUMIF($B$4:$B126,"&lt;=" &amp;AS$3,$E$4:$E126)-AS$132</f>
        <v>596081</v>
      </c>
      <c r="AT133" s="251">
        <f>SUMIF($B$4:$B126,"&lt;=" &amp;AT$3,$E$4:$E126)-AT$132</f>
        <v>574505.75</v>
      </c>
      <c r="AU133" s="251">
        <f>SUMIF($B$4:$B126,"&lt;=" &amp;AU$3,$E$4:$E126)-AU$132</f>
        <v>576610.5</v>
      </c>
      <c r="AV133" s="251">
        <f>SUMIF($B$4:$B126,"&lt;=" &amp;AV$3,$E$4:$E126)-AV$132</f>
        <v>558815.25</v>
      </c>
      <c r="AW133" s="367">
        <f>SUMIF($B$4:$B126,"&lt;=" &amp;AW$3,$E$4:$E126)-AW$132</f>
        <v>542354.16666666663</v>
      </c>
      <c r="AX133" s="367">
        <f>SUMIF($B$4:$B126,"&lt;=" &amp;AX$3,$E$4:$E126)-AX$132</f>
        <v>521495.58333333326</v>
      </c>
      <c r="AY133" s="367">
        <f>SUMIF($B$4:$B126,"&lt;=" &amp;AY$3,$E$4:$E126)-AY$132</f>
        <v>498018.66666666663</v>
      </c>
      <c r="AZ133" s="367">
        <f>SUMIF($B$4:$B126,"&lt;=" &amp;AZ$3,$E$4:$E126)-AZ$132</f>
        <v>485955.08333333326</v>
      </c>
      <c r="BA133" s="367">
        <f>SUMIF($B$4:$B126,"&lt;=" &amp;BA$3,$E$4:$E126)-BA$132</f>
        <v>490456.91666666663</v>
      </c>
      <c r="BB133" s="367">
        <f>SUMIF($B$4:$B126,"&lt;=" &amp;BB$3,$E$4:$E126)-BB$132</f>
        <v>539975.83333333326</v>
      </c>
      <c r="BC133" s="367">
        <f>SUMIF($B$4:$B126,"&lt;=" &amp;BC$3,$E$4:$E126)-BC$132</f>
        <v>515829.74999999988</v>
      </c>
      <c r="BD133" s="367">
        <f>SUMIF($B$4:$B126,"&lt;=" &amp;BD$3,$E$4:$E126)-BD$132</f>
        <v>493350.33333333326</v>
      </c>
      <c r="BE133" s="367">
        <f>SUMIF($B$4:$B126,"&lt;=" &amp;BE$3,$E$4:$E126)-BE$132</f>
        <v>480025.91666666663</v>
      </c>
      <c r="BF133" s="367">
        <f>SUMIF($B$4:$B126,"&lt;=" &amp;BF$3,$E$4:$E126)-BF$132</f>
        <v>477999.83333333326</v>
      </c>
      <c r="BG133" s="367">
        <f>SUMIF($B$4:$B126,"&lt;=" &amp;BG$3,$E$4:$E126)-BG$132</f>
        <v>456951.66666666663</v>
      </c>
      <c r="BH133" s="367">
        <f>SUMIF($B$4:$B126,"&lt;=" &amp;BH$3,$E$4:$E126)-BH$132</f>
        <v>452682.66666666663</v>
      </c>
      <c r="BI133" s="367">
        <f>SUMIF($B$4:$B126,"&lt;=" &amp;BI$3,$E$4:$E126)-BI$132</f>
        <v>442379.08333333326</v>
      </c>
      <c r="BJ133" s="251">
        <f>SUMIF($B$4:$B126,"&lt;=" &amp;BJ$3,$E$4:$E126)-BJ$132</f>
        <v>421075.49999999988</v>
      </c>
      <c r="BK133" s="251">
        <f>SUMIF($B$4:$B126,"&lt;=" &amp;BK$3,$E$4:$E126)-BK$132</f>
        <v>400146.91666666651</v>
      </c>
      <c r="BL133" s="251">
        <f>SUMIF($B$4:$B126,"&lt;=" &amp;BL$3,$E$4:$E126)-BL$132</f>
        <v>380134.99999999988</v>
      </c>
      <c r="BM133" s="251">
        <f>SUMIF($B$4:$B126,"&lt;=" &amp;BM$3,$E$4:$E126)-BM$132</f>
        <v>361498.08333333326</v>
      </c>
      <c r="BN133" s="251">
        <f>SUMIF($B$4:$B126,"&lt;=" &amp;BN$3,$E$4:$E126)-BN$132</f>
        <v>344982.41666666663</v>
      </c>
      <c r="BO133" s="251">
        <f>SUMIF($B$4:$B126,"&lt;=" &amp;BO$3,$E$4:$E126)-BO$132</f>
        <v>328466.75</v>
      </c>
      <c r="BP133" s="251">
        <f>SUMIF($B$4:$B126,"&lt;=" &amp;BP$3,$E$4:$E126)-BP$132</f>
        <v>311951.08333333337</v>
      </c>
      <c r="BQ133" s="251">
        <f>SUMIF($B$4:$B126,"&lt;=" &amp;BQ$3,$E$4:$E126)-BQ$132</f>
        <v>296448.33333333337</v>
      </c>
      <c r="BR133" s="251">
        <f>SUMIF($B$4:$B126,"&lt;=" &amp;BR$3,$E$4:$E126)-BR$132</f>
        <v>281739.75</v>
      </c>
      <c r="BS133" s="251">
        <f>SUMIF($B$4:$B126,"&lt;=" &amp;BS$3,$E$4:$E126)-BS$132</f>
        <v>268202.83333333337</v>
      </c>
      <c r="BT133" s="251">
        <f>SUMIF($B$4:$B126,"&lt;=" &amp;BT$3,$E$4:$E126)-BT$132</f>
        <v>254749.25</v>
      </c>
      <c r="BU133" s="251">
        <f>SUMIF($B$4:$B126,"&lt;=" &amp;BU$3,$E$4:$E126)-BU$132</f>
        <v>242325.66666666663</v>
      </c>
      <c r="BV133" s="251">
        <f>SUMIF($B$4:$B126,"&lt;=" &amp;BV$3,$E$4:$E126)-BV$132</f>
        <v>230152.08333333326</v>
      </c>
      <c r="BW133" s="251">
        <f>SUMIF($B$4:$B126,"&lt;=" &amp;BW$3,$E$4:$E126)-BW$132</f>
        <v>218228.5</v>
      </c>
      <c r="BX133" s="251">
        <f>SUMIF($B$4:$B126,"&lt;=" &amp;BX$3,$E$4:$E126)-BX$132</f>
        <v>207375.83333333326</v>
      </c>
      <c r="BY133" s="251">
        <f>SUMIF($B$4:$B126,"&lt;=" &amp;BY$3,$E$4:$E126)-BY$132</f>
        <v>196898.16666666651</v>
      </c>
      <c r="BZ133" s="251">
        <f>SUMIF($B$4:$B126,"&lt;=" &amp;BZ$3,$E$4:$E126)-BZ$132</f>
        <v>186828.83333333326</v>
      </c>
      <c r="CA133" s="251">
        <f>SUMIF($B$4:$B126,"&lt;=" &amp;CA$3,$E$4:$E126)-CA$132</f>
        <v>176759.5</v>
      </c>
      <c r="CB133" s="251">
        <f>SUMIF($B$4:$B126,"&lt;=" &amp;CB$3,$E$4:$E126)-CB$132</f>
        <v>167006.83333333326</v>
      </c>
      <c r="CC133" s="251">
        <f>SUMIF($B$4:$B126,"&lt;=" &amp;CC$3,$E$4:$E126)-CC$132</f>
        <v>157429.16666666651</v>
      </c>
      <c r="CD133" s="251">
        <f>SUMIF($B$4:$B126,"&lt;=" &amp;CD$3,$E$4:$E126)-CD$132</f>
        <v>147851.49999999977</v>
      </c>
      <c r="CE133" s="251">
        <f>SUMIF($B$4:$B126,"&lt;=" &amp;CE$3,$E$4:$E126)-CE$132</f>
        <v>138648.83333333302</v>
      </c>
      <c r="CF133" s="251">
        <f>SUMIF($B$4:$B126,"&lt;=" &amp;CF$3,$E$4:$E126)-CF$132</f>
        <v>129796.16666666628</v>
      </c>
      <c r="CG133" s="251">
        <f>SUMIF($B$4:$B126,"&lt;=" &amp;CG$3,$E$4:$E126)-CG$132</f>
        <v>120943.49999999953</v>
      </c>
      <c r="CH133" s="251">
        <f>SUMIF($B$4:$B126,"&lt;=" &amp;CH$3,$E$4:$E126)-CH$132</f>
        <v>112257.49999999953</v>
      </c>
      <c r="CI133" s="251">
        <f>SUMIF($B$4:$B126,"&lt;=" &amp;CI$3,$E$4:$E126)-CI$132</f>
        <v>103571.49999999953</v>
      </c>
      <c r="CJ133" s="251">
        <f>SUMIF($B$4:$B126,"&lt;=" &amp;CJ$3,$E$4:$E126)-CJ$132</f>
        <v>94885.499999999534</v>
      </c>
      <c r="CK133" s="251">
        <f>SUMIF($B$4:$B126,"&lt;=" &amp;CK$3,$E$4:$E126)-CK$132</f>
        <v>86753.666666666279</v>
      </c>
      <c r="CL133" s="251">
        <f>SUMIF($B$4:$B126,"&lt;=" &amp;CL$3,$E$4:$E126)-CL$132</f>
        <v>79409.333333333023</v>
      </c>
      <c r="CM133" s="251">
        <f>SUMIF($B$4:$B126,"&lt;=" &amp;CM$3,$E$4:$E126)-CM$132</f>
        <v>72819.166666666279</v>
      </c>
      <c r="CN133" s="251">
        <f>SUMIF($B$4:$B126,"&lt;=" &amp;CN$3,$E$4:$E126)-CN$132</f>
        <v>66228.999999999534</v>
      </c>
      <c r="CO133" s="251">
        <f>SUMIF($B$4:$B126,"&lt;=" &amp;CO$3,$E$4:$E126)-CO$132</f>
        <v>60013.83333333279</v>
      </c>
      <c r="CP133" s="251">
        <f>SUMIF($B$4:$B126,"&lt;=" &amp;CP$3,$E$4:$E126)-CP$132</f>
        <v>54002.83333333279</v>
      </c>
      <c r="CQ133" s="251">
        <f>SUMIF($B$4:$B126,"&lt;=" &amp;CQ$3,$E$4:$E126)-CQ$132</f>
        <v>48191.83333333279</v>
      </c>
      <c r="CR133" s="251">
        <f>SUMIF($B$4:$B126,"&lt;=" &amp;CR$3,$E$4:$E126)-CR$132</f>
        <v>42622.499999999534</v>
      </c>
      <c r="CS133" s="251">
        <f>SUMIF($B$4:$B126,"&lt;=" &amp;CS$3,$E$4:$E126)-CS$132</f>
        <v>37436.499999999534</v>
      </c>
      <c r="CT133" s="251">
        <f>SUMIF($B$4:$B126,"&lt;=" &amp;CT$3,$E$4:$E126)-CT$132</f>
        <v>32912.999999999534</v>
      </c>
      <c r="CU133" s="251">
        <f>SUMIF($B$4:$B126,"&lt;=" &amp;CU$3,$E$4:$E126)-CU$132</f>
        <v>28593.666666666279</v>
      </c>
      <c r="CV133" s="251">
        <f>SUMIF($B$4:$B126,"&lt;=" &amp;CV$3,$E$4:$E126)-CV$132</f>
        <v>24274.333333333023</v>
      </c>
      <c r="CW133" s="251">
        <f>SUMIF($B$4:$B126,"&lt;=" &amp;CW$3,$E$4:$E126)-CW$132</f>
        <v>20496.666666666279</v>
      </c>
      <c r="CX133" s="251">
        <f>SUMIF($B$4:$B126,"&lt;=" &amp;CX$3,$E$4:$E126)-CX$132</f>
        <v>18137.499999999534</v>
      </c>
      <c r="CY133" s="251">
        <f>SUMIF($B$4:$B126,"&lt;=" &amp;CY$3,$E$4:$E126)-CY$132</f>
        <v>16661.666666666279</v>
      </c>
      <c r="CZ133" s="251">
        <f>SUMIF($B$4:$B126,"&lt;=" &amp;CZ$3,$E$4:$E126)-CZ$132</f>
        <v>15185.833333333023</v>
      </c>
      <c r="DA133" s="251">
        <f>SUMIF($B$4:$B126,"&lt;=" &amp;DA$3,$E$4:$E126)-DA$132</f>
        <v>13709.999999999767</v>
      </c>
      <c r="DB133" s="251">
        <f>SUMIF($B$4:$B126,"&lt;=" &amp;DB$3,$E$4:$E126)-DB$132</f>
        <v>12234.166666666511</v>
      </c>
      <c r="DC133" s="251">
        <f>SUMIF($B$4:$B126,"&lt;=" &amp;DC$3,$E$4:$E126)-DC$132</f>
        <v>10758.333333333256</v>
      </c>
      <c r="DD133" s="251">
        <f>SUMIF($B$4:$B126,"&lt;=" &amp;DD$3,$E$4:$E126)-DD$132</f>
        <v>9282.5</v>
      </c>
      <c r="DE133" s="251">
        <f>SUMIF($B$4:$B126,"&lt;=" &amp;DE$3,$E$4:$E126)-DE$132</f>
        <v>7806.6666666667443</v>
      </c>
      <c r="DF133" s="251">
        <f>SUMIF($B$4:$B126,"&lt;=" &amp;DF$3,$E$4:$E126)-DF$132</f>
        <v>6330.8333333334886</v>
      </c>
      <c r="DG133" s="251">
        <f>SUMIF($B$4:$B126,"&lt;=" &amp;DG$3,$E$4:$E126)-DG$132</f>
        <v>4855.0000000002328</v>
      </c>
      <c r="DH133" s="251">
        <f>SUMIF($B$4:$B126,"&lt;=" &amp;DH$3,$E$4:$E126)-DH$132</f>
        <v>3379.1666666669771</v>
      </c>
      <c r="DI133" s="251">
        <f>SUMIF($B$4:$B126,"&lt;=" &amp;DI$3,$E$4:$E126)-DI$132</f>
        <v>2286.6666666669771</v>
      </c>
      <c r="DJ133" s="251">
        <f>SUMIF($B$4:$B126,"&lt;=" &amp;DJ$3,$E$4:$E126)-DJ$132</f>
        <v>1790.0000000002328</v>
      </c>
      <c r="DK133" s="251">
        <f>SUMIF($B$4:$B126,"&lt;=" &amp;DK$3,$E$4:$E126)-DK$132</f>
        <v>1293.3333333334886</v>
      </c>
      <c r="DL133" s="251">
        <f>SUMIF($B$4:$B126,"&lt;=" &amp;DL$3,$E$4:$E126)-DL$132</f>
        <v>796.66666666674428</v>
      </c>
      <c r="DM133" s="251">
        <f>SUMIF($B$4:$B126,"&lt;=" &amp;DM$3,$E$4:$E126)-DM$132</f>
        <v>300</v>
      </c>
      <c r="DN133" s="251">
        <f>SUMIF($B$4:$B126,"&lt;=" &amp;DN$3,$E$4:$E126)-DN$132</f>
        <v>150</v>
      </c>
      <c r="DO133" s="251">
        <f>SUMIF($B$4:$B126,"&lt;=" &amp;DO$3,$E$4:$E126)-DO$132</f>
        <v>0</v>
      </c>
      <c r="DP133" s="251">
        <f>SUMIF($B$4:$B126,"&lt;=" &amp;DP$3,$E$4:$E126)-DP$132</f>
        <v>0</v>
      </c>
    </row>
    <row r="134" spans="8:120" ht="15" thickTop="1" x14ac:dyDescent="0.3">
      <c r="AW134" s="208">
        <f>AW133-542354.17</f>
        <v>-3.3333334140479565E-3</v>
      </c>
    </row>
    <row r="135" spans="8:120" x14ac:dyDescent="0.3">
      <c r="AI135" s="11"/>
      <c r="AM135" s="11"/>
    </row>
    <row r="136" spans="8:120" x14ac:dyDescent="0.3">
      <c r="AB136" t="s">
        <v>257</v>
      </c>
      <c r="AC136" s="11" t="s">
        <v>258</v>
      </c>
      <c r="AD136" t="s">
        <v>259</v>
      </c>
      <c r="AS136" s="11"/>
    </row>
    <row r="137" spans="8:120" x14ac:dyDescent="0.3">
      <c r="AB137" t="s">
        <v>260</v>
      </c>
      <c r="AC137">
        <v>6161.25</v>
      </c>
      <c r="AD137">
        <v>7733.33</v>
      </c>
      <c r="AE137">
        <f>AD137-AC137</f>
        <v>1572.08</v>
      </c>
    </row>
    <row r="138" spans="8:120" x14ac:dyDescent="0.3">
      <c r="AB138" t="s">
        <v>261</v>
      </c>
      <c r="AC138">
        <v>6911.33</v>
      </c>
      <c r="AD138">
        <v>8453</v>
      </c>
      <c r="AE138">
        <f>AD138-AC138</f>
        <v>1541.67</v>
      </c>
    </row>
    <row r="139" spans="8:120" x14ac:dyDescent="0.3">
      <c r="AC139">
        <f>SUM(AC137:AC138)</f>
        <v>13072.58</v>
      </c>
      <c r="AD139">
        <f>SUM(AD137:AD138)</f>
        <v>16186.33</v>
      </c>
      <c r="AE139">
        <f>AD139-AC139</f>
        <v>3113.75</v>
      </c>
    </row>
    <row r="142" spans="8:120" x14ac:dyDescent="0.3">
      <c r="AB142" t="s">
        <v>262</v>
      </c>
      <c r="AC142" s="11" t="s">
        <v>258</v>
      </c>
      <c r="AD142" t="s">
        <v>259</v>
      </c>
    </row>
    <row r="143" spans="8:120" x14ac:dyDescent="0.3">
      <c r="AB143" t="s">
        <v>260</v>
      </c>
      <c r="AC143">
        <v>6161.25</v>
      </c>
      <c r="AD143">
        <v>7733.33</v>
      </c>
      <c r="AE143">
        <f>AD143-AC143</f>
        <v>1572.08</v>
      </c>
    </row>
    <row r="144" spans="8:120" x14ac:dyDescent="0.3">
      <c r="AB144" t="s">
        <v>261</v>
      </c>
      <c r="AC144">
        <v>6911.33</v>
      </c>
      <c r="AD144">
        <v>8453</v>
      </c>
      <c r="AE144">
        <f>AD144-AC144</f>
        <v>1541.67</v>
      </c>
    </row>
    <row r="145" spans="29:31" x14ac:dyDescent="0.3">
      <c r="AC145">
        <f>SUM(AC143:AC144)</f>
        <v>13072.58</v>
      </c>
      <c r="AD145">
        <f>SUM(AD143:AD144)</f>
        <v>16186.33</v>
      </c>
      <c r="AE145">
        <f>AD145-AC145</f>
        <v>3113.75</v>
      </c>
    </row>
  </sheetData>
  <autoFilter ref="A3:DE3" xr:uid="{ED0CBF34-C030-4696-9902-1BF8690805B4}"/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41EB-945A-4EE7-AB7B-0DFE3DD00429}">
  <sheetPr>
    <tabColor rgb="FF92D050"/>
  </sheetPr>
  <dimension ref="A1:J22"/>
  <sheetViews>
    <sheetView workbookViewId="0">
      <selection activeCell="L16" sqref="L16"/>
    </sheetView>
  </sheetViews>
  <sheetFormatPr defaultRowHeight="14.4" x14ac:dyDescent="0.3"/>
  <cols>
    <col min="10" max="10" width="10.5546875" bestFit="1" customWidth="1"/>
  </cols>
  <sheetData>
    <row r="1" spans="1:10" x14ac:dyDescent="0.3">
      <c r="A1" s="440" t="s">
        <v>363</v>
      </c>
      <c r="B1" s="441"/>
      <c r="C1" s="441"/>
      <c r="D1" s="441"/>
      <c r="E1" s="441"/>
      <c r="F1" s="441"/>
      <c r="G1" s="441"/>
      <c r="H1" s="441"/>
      <c r="I1" s="441"/>
      <c r="J1" s="314"/>
    </row>
    <row r="2" spans="1:10" x14ac:dyDescent="0.3">
      <c r="A2" s="442" t="s">
        <v>427</v>
      </c>
      <c r="B2" s="441"/>
      <c r="C2" s="441"/>
      <c r="D2" s="441"/>
      <c r="E2" s="441"/>
      <c r="F2" s="441"/>
      <c r="G2" s="441"/>
      <c r="H2" s="441"/>
      <c r="I2" s="441"/>
      <c r="J2" s="314"/>
    </row>
    <row r="3" spans="1:10" x14ac:dyDescent="0.3">
      <c r="A3" s="443" t="s">
        <v>428</v>
      </c>
      <c r="B3" s="441"/>
      <c r="C3" s="441"/>
      <c r="D3" s="441"/>
      <c r="E3" s="441"/>
      <c r="F3" s="441"/>
      <c r="G3" s="441"/>
      <c r="H3" s="441"/>
      <c r="I3" s="441"/>
      <c r="J3" s="314"/>
    </row>
    <row r="4" spans="1:10" x14ac:dyDescent="0.3">
      <c r="A4" s="314"/>
      <c r="B4" s="314"/>
      <c r="C4" s="314"/>
      <c r="D4" s="314"/>
      <c r="E4" s="314"/>
      <c r="F4" s="314"/>
      <c r="G4" s="314"/>
      <c r="H4" s="314"/>
      <c r="I4" s="314"/>
      <c r="J4" s="314"/>
    </row>
    <row r="5" spans="1:10" ht="24.6" x14ac:dyDescent="0.3">
      <c r="A5" s="314"/>
      <c r="B5" s="392" t="s">
        <v>429</v>
      </c>
      <c r="C5" s="392" t="s">
        <v>430</v>
      </c>
      <c r="D5" s="392" t="s">
        <v>364</v>
      </c>
      <c r="E5" s="392" t="s">
        <v>134</v>
      </c>
      <c r="F5" s="392" t="s">
        <v>365</v>
      </c>
      <c r="G5" s="392" t="s">
        <v>431</v>
      </c>
      <c r="H5" s="392" t="s">
        <v>432</v>
      </c>
      <c r="I5" s="392" t="s">
        <v>123</v>
      </c>
      <c r="J5" s="392" t="s">
        <v>366</v>
      </c>
    </row>
    <row r="6" spans="1:10" ht="42" x14ac:dyDescent="0.3">
      <c r="A6" s="393" t="s">
        <v>100</v>
      </c>
      <c r="B6" s="314"/>
      <c r="C6" s="314"/>
      <c r="D6" s="314"/>
      <c r="E6" s="314"/>
      <c r="F6" s="314"/>
      <c r="G6" s="314"/>
      <c r="H6" s="314"/>
      <c r="I6" s="314"/>
      <c r="J6" s="314"/>
    </row>
    <row r="7" spans="1:10" ht="21.6" x14ac:dyDescent="0.3">
      <c r="A7" s="314"/>
      <c r="B7" s="394" t="s">
        <v>0</v>
      </c>
      <c r="C7" s="314"/>
      <c r="D7" s="314"/>
      <c r="E7" s="314"/>
      <c r="F7" s="314"/>
      <c r="G7" s="314"/>
      <c r="H7" s="314"/>
      <c r="I7" s="314"/>
      <c r="J7" s="395">
        <v>52906.41</v>
      </c>
    </row>
    <row r="8" spans="1:10" ht="42" x14ac:dyDescent="0.3">
      <c r="A8" s="314"/>
      <c r="B8" s="394" t="s">
        <v>433</v>
      </c>
      <c r="C8" s="394" t="s">
        <v>434</v>
      </c>
      <c r="D8" s="394" t="s">
        <v>435</v>
      </c>
      <c r="E8" s="394" t="s">
        <v>436</v>
      </c>
      <c r="F8" s="394" t="s">
        <v>437</v>
      </c>
      <c r="G8" s="394" t="s">
        <v>100</v>
      </c>
      <c r="H8" s="394" t="s">
        <v>436</v>
      </c>
      <c r="I8" s="395">
        <v>468.66</v>
      </c>
      <c r="J8" s="395">
        <v>53375.070000000007</v>
      </c>
    </row>
    <row r="9" spans="1:10" ht="52.2" x14ac:dyDescent="0.3">
      <c r="A9" s="396" t="s">
        <v>438</v>
      </c>
      <c r="B9" s="314"/>
      <c r="C9" s="314"/>
      <c r="D9" s="314"/>
      <c r="E9" s="314"/>
      <c r="F9" s="314"/>
      <c r="G9" s="314"/>
      <c r="H9" s="314"/>
      <c r="I9" s="397">
        <f>I7+I8</f>
        <v>468.66</v>
      </c>
      <c r="J9" s="314"/>
    </row>
    <row r="10" spans="1:10" x14ac:dyDescent="0.3">
      <c r="A10" s="314"/>
      <c r="B10" s="398" t="s">
        <v>367</v>
      </c>
      <c r="C10" s="314"/>
      <c r="D10" s="314"/>
      <c r="E10" s="314"/>
      <c r="F10" s="314"/>
      <c r="G10" s="314"/>
      <c r="H10" s="314"/>
      <c r="I10" s="397">
        <v>468.66</v>
      </c>
      <c r="J10" s="314"/>
    </row>
    <row r="11" spans="1:10" x14ac:dyDescent="0.3">
      <c r="B11" t="s">
        <v>452</v>
      </c>
    </row>
    <row r="22" spans="9:10" x14ac:dyDescent="0.3">
      <c r="I22" t="s">
        <v>7</v>
      </c>
      <c r="J22" s="391">
        <f>J8</f>
        <v>53375.070000000007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082C-2362-4EC6-A781-5DEB435F1161}">
  <sheetPr>
    <tabColor rgb="FF00B050"/>
  </sheetPr>
  <dimension ref="A1"/>
  <sheetViews>
    <sheetView workbookViewId="0">
      <selection activeCell="I33" sqref="I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159A-CC7A-4DC5-9D3D-894BD07716FF}">
  <sheetPr>
    <tabColor theme="0" tint="-0.499984740745262"/>
  </sheetPr>
  <dimension ref="A2:U54"/>
  <sheetViews>
    <sheetView topLeftCell="A13" workbookViewId="0">
      <selection activeCell="B33" sqref="B33"/>
    </sheetView>
  </sheetViews>
  <sheetFormatPr defaultRowHeight="14.4" x14ac:dyDescent="0.3"/>
  <cols>
    <col min="1" max="1" width="21" bestFit="1" customWidth="1"/>
    <col min="2" max="3" width="14.109375" bestFit="1" customWidth="1"/>
    <col min="4" max="4" width="17.88671875" customWidth="1"/>
    <col min="5" max="5" width="12.33203125" customWidth="1"/>
    <col min="6" max="6" width="15.44140625" customWidth="1"/>
    <col min="7" max="7" width="11.44140625" bestFit="1" customWidth="1"/>
    <col min="8" max="8" width="15.6640625" bestFit="1" customWidth="1"/>
    <col min="9" max="9" width="12.6640625" customWidth="1"/>
    <col min="10" max="10" width="22" customWidth="1"/>
    <col min="11" max="11" width="14.6640625" customWidth="1"/>
    <col min="12" max="12" width="11.33203125" bestFit="1" customWidth="1"/>
    <col min="13" max="13" width="16.109375" customWidth="1"/>
    <col min="14" max="14" width="22.109375" bestFit="1" customWidth="1"/>
    <col min="15" max="15" width="10.5546875" bestFit="1" customWidth="1"/>
  </cols>
  <sheetData>
    <row r="2" spans="1:18" x14ac:dyDescent="0.3">
      <c r="A2" s="444" t="s">
        <v>275</v>
      </c>
      <c r="B2" s="444"/>
      <c r="D2" t="s">
        <v>334</v>
      </c>
      <c r="R2" s="9">
        <f>A27*0.4</f>
        <v>44539.66</v>
      </c>
    </row>
    <row r="3" spans="1:18" x14ac:dyDescent="0.3">
      <c r="B3" t="s">
        <v>332</v>
      </c>
      <c r="C3" t="s">
        <v>333</v>
      </c>
      <c r="D3" s="9">
        <f>4759</f>
        <v>4759</v>
      </c>
      <c r="F3" t="s">
        <v>335</v>
      </c>
      <c r="J3" s="314"/>
    </row>
    <row r="4" spans="1:18" x14ac:dyDescent="0.3">
      <c r="A4" t="s">
        <v>276</v>
      </c>
      <c r="B4" s="9">
        <v>110530</v>
      </c>
      <c r="C4" s="9">
        <f>73257+14620</f>
        <v>87877</v>
      </c>
      <c r="D4" s="296">
        <f>C4/C6</f>
        <v>0.69611058301647655</v>
      </c>
      <c r="E4" s="11">
        <f>D3*D4</f>
        <v>3312.790264575412</v>
      </c>
      <c r="F4" s="11">
        <f>C4+E4</f>
        <v>91189.790264575407</v>
      </c>
      <c r="J4" s="314"/>
      <c r="K4" s="9">
        <f>130999</f>
        <v>130999</v>
      </c>
      <c r="R4" s="9"/>
    </row>
    <row r="5" spans="1:18" x14ac:dyDescent="0.3">
      <c r="A5" t="s">
        <v>277</v>
      </c>
      <c r="B5" s="9">
        <v>20469</v>
      </c>
      <c r="C5" s="9">
        <f>32514+5849</f>
        <v>38363</v>
      </c>
      <c r="D5" s="292">
        <f>C5/C6</f>
        <v>0.30388941698352345</v>
      </c>
      <c r="E5" s="11">
        <f>D5*D3</f>
        <v>1446.2097354245882</v>
      </c>
      <c r="F5" s="11">
        <f>C5+E5</f>
        <v>39809.209735424585</v>
      </c>
      <c r="J5" s="314" t="s">
        <v>283</v>
      </c>
      <c r="K5" s="11">
        <f>F4</f>
        <v>91189.790264575407</v>
      </c>
      <c r="R5" s="9" t="s">
        <v>284</v>
      </c>
    </row>
    <row r="6" spans="1:18" ht="28.8" x14ac:dyDescent="0.3">
      <c r="B6" s="9">
        <f>SUM(B4:B5)</f>
        <v>130999</v>
      </c>
      <c r="C6" s="11">
        <f>SUM(C4:C5)</f>
        <v>126240</v>
      </c>
      <c r="J6" s="314" t="s">
        <v>285</v>
      </c>
      <c r="K6" s="11">
        <f>F5</f>
        <v>39809.209735424585</v>
      </c>
    </row>
    <row r="7" spans="1:18" x14ac:dyDescent="0.3">
      <c r="B7" s="9"/>
      <c r="J7" s="314"/>
    </row>
    <row r="8" spans="1:18" x14ac:dyDescent="0.3">
      <c r="J8" s="314"/>
      <c r="K8" s="315" t="s">
        <v>286</v>
      </c>
      <c r="L8" s="15" t="s">
        <v>261</v>
      </c>
      <c r="M8" t="s">
        <v>336</v>
      </c>
    </row>
    <row r="9" spans="1:18" x14ac:dyDescent="0.3">
      <c r="A9" t="s">
        <v>287</v>
      </c>
      <c r="B9" s="11">
        <f>F4</f>
        <v>91189.790264575407</v>
      </c>
      <c r="D9" t="s">
        <v>288</v>
      </c>
      <c r="E9" s="11">
        <f>F5</f>
        <v>39809.209735424585</v>
      </c>
      <c r="J9" t="s">
        <v>289</v>
      </c>
      <c r="K9" s="9">
        <f>19649.85</f>
        <v>19649.849999999999</v>
      </c>
      <c r="L9" s="9">
        <v>589.5</v>
      </c>
    </row>
    <row r="10" spans="1:18" x14ac:dyDescent="0.3">
      <c r="A10" t="s">
        <v>278</v>
      </c>
      <c r="B10" s="11">
        <f>B9/12</f>
        <v>7599.1491887146176</v>
      </c>
      <c r="D10" t="s">
        <v>278</v>
      </c>
      <c r="E10" s="11">
        <f>E9/12</f>
        <v>3317.4341446187154</v>
      </c>
    </row>
    <row r="11" spans="1:18" x14ac:dyDescent="0.3">
      <c r="J11" t="s">
        <v>290</v>
      </c>
      <c r="K11" s="9">
        <f>K9*0.7</f>
        <v>13754.894999999999</v>
      </c>
      <c r="L11" s="9">
        <f>L9*0.7</f>
        <v>412.65</v>
      </c>
      <c r="M11" s="11">
        <f>SUM(K11:L11)</f>
        <v>14167.544999999998</v>
      </c>
    </row>
    <row r="12" spans="1:18" x14ac:dyDescent="0.3">
      <c r="A12" t="s">
        <v>153</v>
      </c>
      <c r="B12" s="11">
        <f t="shared" ref="B12:B23" si="0">$B$10</f>
        <v>7599.1491887146176</v>
      </c>
      <c r="D12" t="s">
        <v>153</v>
      </c>
      <c r="E12" s="11">
        <f t="shared" ref="E12:E23" si="1">$E$10</f>
        <v>3317.4341446187154</v>
      </c>
      <c r="J12" t="s">
        <v>291</v>
      </c>
      <c r="K12" s="9">
        <f>K9*0.3</f>
        <v>5894.954999999999</v>
      </c>
      <c r="L12" s="9">
        <f>L9*0.3</f>
        <v>176.85</v>
      </c>
      <c r="M12" s="11">
        <f>SUM(K12:L12)</f>
        <v>6071.8049999999994</v>
      </c>
    </row>
    <row r="13" spans="1:18" x14ac:dyDescent="0.3">
      <c r="A13" t="s">
        <v>154</v>
      </c>
      <c r="B13" s="11">
        <f t="shared" si="0"/>
        <v>7599.1491887146176</v>
      </c>
      <c r="D13" t="s">
        <v>154</v>
      </c>
      <c r="E13" s="11">
        <f t="shared" si="1"/>
        <v>3317.4341446187154</v>
      </c>
      <c r="L13" s="11"/>
    </row>
    <row r="14" spans="1:18" x14ac:dyDescent="0.3">
      <c r="A14" t="s">
        <v>155</v>
      </c>
      <c r="B14" s="11">
        <f t="shared" si="0"/>
        <v>7599.1491887146176</v>
      </c>
      <c r="D14" t="s">
        <v>155</v>
      </c>
      <c r="E14" s="11">
        <f t="shared" si="1"/>
        <v>3317.4341446187154</v>
      </c>
      <c r="M14" s="11"/>
    </row>
    <row r="15" spans="1:18" x14ac:dyDescent="0.3">
      <c r="A15" t="s">
        <v>156</v>
      </c>
      <c r="B15" s="11">
        <f t="shared" si="0"/>
        <v>7599.1491887146176</v>
      </c>
      <c r="D15" t="s">
        <v>156</v>
      </c>
      <c r="E15" s="11">
        <f t="shared" si="1"/>
        <v>3317.4341446187154</v>
      </c>
    </row>
    <row r="16" spans="1:18" x14ac:dyDescent="0.3">
      <c r="A16" t="s">
        <v>157</v>
      </c>
      <c r="B16" s="11">
        <f t="shared" si="0"/>
        <v>7599.1491887146176</v>
      </c>
      <c r="D16" t="s">
        <v>157</v>
      </c>
      <c r="E16" s="11">
        <f t="shared" si="1"/>
        <v>3317.4341446187154</v>
      </c>
    </row>
    <row r="17" spans="1:21" x14ac:dyDescent="0.3">
      <c r="A17" t="s">
        <v>158</v>
      </c>
      <c r="B17" s="11">
        <f t="shared" si="0"/>
        <v>7599.1491887146176</v>
      </c>
      <c r="D17" t="s">
        <v>158</v>
      </c>
      <c r="E17" s="11">
        <f t="shared" si="1"/>
        <v>3317.4341446187154</v>
      </c>
      <c r="R17" s="9"/>
    </row>
    <row r="18" spans="1:21" x14ac:dyDescent="0.3">
      <c r="A18" t="s">
        <v>159</v>
      </c>
      <c r="B18" s="11">
        <f t="shared" si="0"/>
        <v>7599.1491887146176</v>
      </c>
      <c r="D18" t="s">
        <v>159</v>
      </c>
      <c r="E18" s="11">
        <f t="shared" si="1"/>
        <v>3317.4341446187154</v>
      </c>
      <c r="R18" s="9"/>
    </row>
    <row r="19" spans="1:21" x14ac:dyDescent="0.3">
      <c r="A19" t="s">
        <v>160</v>
      </c>
      <c r="B19" s="11">
        <f t="shared" si="0"/>
        <v>7599.1491887146176</v>
      </c>
      <c r="D19" t="s">
        <v>160</v>
      </c>
      <c r="E19" s="11">
        <f t="shared" si="1"/>
        <v>3317.4341446187154</v>
      </c>
    </row>
    <row r="20" spans="1:21" x14ac:dyDescent="0.3">
      <c r="A20" t="s">
        <v>161</v>
      </c>
      <c r="B20" s="11">
        <f t="shared" si="0"/>
        <v>7599.1491887146176</v>
      </c>
      <c r="D20" t="s">
        <v>161</v>
      </c>
      <c r="E20" s="11">
        <f t="shared" si="1"/>
        <v>3317.4341446187154</v>
      </c>
    </row>
    <row r="21" spans="1:21" x14ac:dyDescent="0.3">
      <c r="A21" t="s">
        <v>162</v>
      </c>
      <c r="B21" s="11">
        <f t="shared" si="0"/>
        <v>7599.1491887146176</v>
      </c>
      <c r="D21" t="s">
        <v>162</v>
      </c>
      <c r="E21" s="11">
        <f t="shared" si="1"/>
        <v>3317.4341446187154</v>
      </c>
    </row>
    <row r="22" spans="1:21" x14ac:dyDescent="0.3">
      <c r="A22" t="s">
        <v>279</v>
      </c>
      <c r="B22" s="11">
        <f t="shared" si="0"/>
        <v>7599.1491887146176</v>
      </c>
      <c r="D22" t="s">
        <v>279</v>
      </c>
      <c r="E22" s="11">
        <f t="shared" si="1"/>
        <v>3317.4341446187154</v>
      </c>
    </row>
    <row r="23" spans="1:21" x14ac:dyDescent="0.3">
      <c r="A23" t="s">
        <v>274</v>
      </c>
      <c r="B23" s="11">
        <f t="shared" si="0"/>
        <v>7599.1491887146176</v>
      </c>
      <c r="D23" t="s">
        <v>274</v>
      </c>
      <c r="E23" s="11">
        <f t="shared" si="1"/>
        <v>3317.4341446187154</v>
      </c>
    </row>
    <row r="25" spans="1:21" x14ac:dyDescent="0.3">
      <c r="B25" s="11">
        <f>SUM(B12:B24)</f>
        <v>91189.790264575393</v>
      </c>
      <c r="E25" s="11">
        <f>SUM(E12:E24)</f>
        <v>39809.2097354246</v>
      </c>
    </row>
    <row r="27" spans="1:21" x14ac:dyDescent="0.3">
      <c r="A27" s="9">
        <f>K4-K9</f>
        <v>111349.15</v>
      </c>
      <c r="B27" s="316"/>
    </row>
    <row r="28" spans="1:21" x14ac:dyDescent="0.3">
      <c r="A28" s="292">
        <v>0.1085</v>
      </c>
      <c r="R28" s="9"/>
    </row>
    <row r="29" spans="1:21" x14ac:dyDescent="0.3">
      <c r="A29" s="9">
        <v>11696.12</v>
      </c>
      <c r="B29" s="316"/>
      <c r="R29" s="9"/>
    </row>
    <row r="30" spans="1:21" ht="15" thickBot="1" x14ac:dyDescent="0.35">
      <c r="A30" s="9"/>
      <c r="C30" s="11">
        <f>SUM(C34:C35)*0.4</f>
        <v>8590.1302544692026</v>
      </c>
      <c r="D30" s="11"/>
      <c r="E30" s="11"/>
      <c r="M30" s="287"/>
      <c r="N30" s="287"/>
      <c r="O30" s="287"/>
      <c r="P30" s="287"/>
      <c r="R30" s="9"/>
    </row>
    <row r="31" spans="1:21" x14ac:dyDescent="0.3">
      <c r="A31" s="318"/>
      <c r="B31" s="319"/>
      <c r="C31" s="319"/>
      <c r="D31" s="319"/>
      <c r="E31" s="319"/>
      <c r="F31" s="320" t="s">
        <v>292</v>
      </c>
      <c r="G31" s="322"/>
      <c r="H31" s="319"/>
      <c r="I31" s="319"/>
      <c r="J31" s="320"/>
      <c r="K31" s="322"/>
      <c r="L31" s="323"/>
      <c r="M31" s="323"/>
      <c r="N31" s="324"/>
      <c r="P31" s="287"/>
      <c r="Q31" s="288"/>
      <c r="R31" s="287" t="s">
        <v>170</v>
      </c>
      <c r="S31" s="287" t="s">
        <v>171</v>
      </c>
      <c r="U31" s="9"/>
    </row>
    <row r="32" spans="1:21" ht="28.8" x14ac:dyDescent="0.3">
      <c r="A32" s="400"/>
      <c r="B32" s="321" t="s">
        <v>163</v>
      </c>
      <c r="C32" s="321" t="s">
        <v>164</v>
      </c>
      <c r="D32" s="321" t="s">
        <v>167</v>
      </c>
      <c r="E32" s="321"/>
      <c r="F32" s="326">
        <f>A27</f>
        <v>111349.15</v>
      </c>
      <c r="G32" s="325" t="s">
        <v>165</v>
      </c>
      <c r="H32" s="321" t="s">
        <v>165</v>
      </c>
      <c r="I32" s="321" t="s">
        <v>439</v>
      </c>
      <c r="J32" s="326" t="s">
        <v>168</v>
      </c>
      <c r="K32" s="325" t="s">
        <v>166</v>
      </c>
      <c r="L32" s="321" t="s">
        <v>166</v>
      </c>
      <c r="M32" s="321" t="s">
        <v>439</v>
      </c>
      <c r="N32" s="326" t="s">
        <v>169</v>
      </c>
      <c r="O32" s="293"/>
      <c r="P32" s="287"/>
      <c r="Q32" s="287">
        <v>7905.37</v>
      </c>
      <c r="R32" s="289">
        <v>0.7</v>
      </c>
      <c r="S32" s="289">
        <v>0.3</v>
      </c>
      <c r="U32" s="11"/>
    </row>
    <row r="33" spans="1:21" x14ac:dyDescent="0.3">
      <c r="A33" s="331">
        <v>45657</v>
      </c>
      <c r="B33" s="321"/>
      <c r="C33" s="321"/>
      <c r="D33" s="321"/>
      <c r="E33" s="321"/>
      <c r="F33" s="326"/>
      <c r="G33" s="325"/>
      <c r="H33" s="321"/>
      <c r="I33" s="321"/>
      <c r="J33" s="326">
        <f>K5-K11</f>
        <v>77434.895264575403</v>
      </c>
      <c r="K33" s="325"/>
      <c r="L33" s="321"/>
      <c r="M33" s="321"/>
      <c r="N33" s="326">
        <f>E9-K12</f>
        <v>33914.254735424583</v>
      </c>
      <c r="O33" s="293"/>
      <c r="P33" s="287"/>
      <c r="Q33" s="287"/>
      <c r="R33" s="289"/>
      <c r="S33" s="289"/>
      <c r="U33" s="11"/>
    </row>
    <row r="34" spans="1:21" x14ac:dyDescent="0.3">
      <c r="A34" s="331">
        <f>EOMONTH(A33,1)</f>
        <v>45688</v>
      </c>
      <c r="B34" s="332">
        <f>$A$29</f>
        <v>11696.12</v>
      </c>
      <c r="C34" s="332">
        <f>B34-D34</f>
        <v>10689.338102083335</v>
      </c>
      <c r="D34" s="332">
        <f>((F32*$A$28)/12)</f>
        <v>1006.7818979166667</v>
      </c>
      <c r="E34" s="332"/>
      <c r="F34" s="333">
        <f>F32-C34</f>
        <v>100659.81189791666</v>
      </c>
      <c r="G34" s="334">
        <f t="shared" ref="G34:G43" si="2">C34*$D$4</f>
        <v>7440.9613783014674</v>
      </c>
      <c r="H34" s="332">
        <f t="shared" ref="H34:H43" si="3">D34*$D$4</f>
        <v>700.83153392920565</v>
      </c>
      <c r="I34" s="332"/>
      <c r="J34" s="335">
        <f t="shared" ref="J34:J43" si="4">J33-G34</f>
        <v>69993.933886273939</v>
      </c>
      <c r="K34" s="334">
        <f t="shared" ref="K34:K43" si="5">C34*$D$5</f>
        <v>3248.3767237818679</v>
      </c>
      <c r="L34" s="332">
        <f t="shared" ref="L34:L43" si="6">D34*$D$5</f>
        <v>305.95036398746106</v>
      </c>
      <c r="M34" s="332"/>
      <c r="N34" s="335">
        <f t="shared" ref="N34:N43" si="7">N33-K34</f>
        <v>30665.878011642715</v>
      </c>
      <c r="O34" s="11">
        <f>N33-K34</f>
        <v>30665.878011642715</v>
      </c>
      <c r="P34" s="287" t="s">
        <v>172</v>
      </c>
      <c r="Q34" s="290">
        <f>Q32-B43</f>
        <v>0</v>
      </c>
      <c r="R34" s="288">
        <f>Q34*R32</f>
        <v>0</v>
      </c>
      <c r="S34" s="288">
        <f>Q34*S32</f>
        <v>0</v>
      </c>
      <c r="U34" s="11"/>
    </row>
    <row r="35" spans="1:21" x14ac:dyDescent="0.3">
      <c r="A35" s="331">
        <f t="shared" ref="A35:A42" si="8">EOMONTH(A34,1)</f>
        <v>45716</v>
      </c>
      <c r="B35" s="332">
        <f t="shared" ref="B35:B42" si="9">$A$29</f>
        <v>11696.12</v>
      </c>
      <c r="C35" s="332">
        <f t="shared" ref="C35:C43" si="10">B35-D35</f>
        <v>10785.987534089671</v>
      </c>
      <c r="D35" s="332">
        <f t="shared" ref="D35:D42" si="11">((F34*$A$28)/12)</f>
        <v>910.13246591032976</v>
      </c>
      <c r="E35" s="332"/>
      <c r="F35" s="333">
        <f t="shared" ref="F35:F42" si="12">F34-C35</f>
        <v>89873.824363826992</v>
      </c>
      <c r="G35" s="334">
        <f t="shared" si="2"/>
        <v>7508.2400707636089</v>
      </c>
      <c r="H35" s="332">
        <f t="shared" si="3"/>
        <v>633.5528414670631</v>
      </c>
      <c r="I35" s="332"/>
      <c r="J35" s="335">
        <f t="shared" si="4"/>
        <v>62485.693815510327</v>
      </c>
      <c r="K35" s="334">
        <f t="shared" si="5"/>
        <v>3277.7474633260617</v>
      </c>
      <c r="L35" s="332">
        <f t="shared" si="6"/>
        <v>276.57962444326665</v>
      </c>
      <c r="M35" s="332"/>
      <c r="N35" s="335">
        <f t="shared" si="7"/>
        <v>27388.130548316654</v>
      </c>
      <c r="O35" s="11"/>
      <c r="P35" s="287" t="s">
        <v>173</v>
      </c>
      <c r="Q35" s="287">
        <v>237.16</v>
      </c>
      <c r="R35" s="288">
        <f>Q35*R32</f>
        <v>166.012</v>
      </c>
      <c r="S35" s="288">
        <f>Q35*S32</f>
        <v>71.147999999999996</v>
      </c>
    </row>
    <row r="36" spans="1:21" x14ac:dyDescent="0.3">
      <c r="A36" s="331">
        <f t="shared" si="8"/>
        <v>45747</v>
      </c>
      <c r="B36" s="332">
        <f t="shared" si="9"/>
        <v>11696.12</v>
      </c>
      <c r="C36" s="332">
        <f t="shared" si="10"/>
        <v>10883.510838043732</v>
      </c>
      <c r="D36" s="332">
        <f t="shared" si="11"/>
        <v>812.60916195626908</v>
      </c>
      <c r="E36" s="332"/>
      <c r="F36" s="333">
        <f t="shared" si="12"/>
        <v>78990.313525783262</v>
      </c>
      <c r="G36" s="334">
        <f t="shared" si="2"/>
        <v>7576.1270747367635</v>
      </c>
      <c r="H36" s="332">
        <f t="shared" si="3"/>
        <v>565.66583749390884</v>
      </c>
      <c r="I36" s="332"/>
      <c r="J36" s="335">
        <f t="shared" si="4"/>
        <v>54909.56674077356</v>
      </c>
      <c r="K36" s="334">
        <f t="shared" si="5"/>
        <v>3307.3837633069684</v>
      </c>
      <c r="L36" s="332">
        <f t="shared" si="6"/>
        <v>246.94332446236021</v>
      </c>
      <c r="M36" s="332"/>
      <c r="N36" s="335">
        <f t="shared" si="7"/>
        <v>24080.746785009687</v>
      </c>
      <c r="O36" s="11"/>
      <c r="Q36" s="9"/>
    </row>
    <row r="37" spans="1:21" x14ac:dyDescent="0.3">
      <c r="A37" s="331">
        <f t="shared" si="8"/>
        <v>45777</v>
      </c>
      <c r="B37" s="332">
        <f t="shared" si="9"/>
        <v>11696.12</v>
      </c>
      <c r="C37" s="332">
        <f t="shared" si="10"/>
        <v>10981.915915204378</v>
      </c>
      <c r="D37" s="332">
        <f t="shared" si="11"/>
        <v>714.20408479562366</v>
      </c>
      <c r="E37" s="332"/>
      <c r="F37" s="333">
        <f t="shared" si="12"/>
        <v>68008.39761057889</v>
      </c>
      <c r="G37" s="334">
        <f t="shared" si="2"/>
        <v>7644.6278903708417</v>
      </c>
      <c r="H37" s="332">
        <f t="shared" si="3"/>
        <v>497.16502185983063</v>
      </c>
      <c r="I37" s="332"/>
      <c r="J37" s="335">
        <f t="shared" si="4"/>
        <v>47264.938850402716</v>
      </c>
      <c r="K37" s="334">
        <f t="shared" si="5"/>
        <v>3337.2880248335355</v>
      </c>
      <c r="L37" s="332">
        <f t="shared" si="6"/>
        <v>217.03906293579303</v>
      </c>
      <c r="M37" s="332"/>
      <c r="N37" s="335">
        <f t="shared" si="7"/>
        <v>20743.458760176152</v>
      </c>
      <c r="O37" s="11"/>
      <c r="R37" s="11">
        <f>SUM(R34:R36)</f>
        <v>166.012</v>
      </c>
      <c r="S37" s="11">
        <f>SUM(S34:S36)</f>
        <v>71.147999999999996</v>
      </c>
      <c r="U37" s="11"/>
    </row>
    <row r="38" spans="1:21" x14ac:dyDescent="0.3">
      <c r="A38" s="331">
        <f t="shared" si="8"/>
        <v>45808</v>
      </c>
      <c r="B38" s="332">
        <f t="shared" si="9"/>
        <v>11696.12</v>
      </c>
      <c r="C38" s="332">
        <f t="shared" si="10"/>
        <v>11081.210738271016</v>
      </c>
      <c r="D38" s="332">
        <f t="shared" si="11"/>
        <v>614.90926172898412</v>
      </c>
      <c r="E38" s="332"/>
      <c r="F38" s="333">
        <f t="shared" si="12"/>
        <v>56927.186872307873</v>
      </c>
      <c r="G38" s="334">
        <f t="shared" si="2"/>
        <v>7713.7480675462775</v>
      </c>
      <c r="H38" s="332">
        <f t="shared" si="3"/>
        <v>428.04484468439432</v>
      </c>
      <c r="I38" s="332"/>
      <c r="J38" s="335">
        <f t="shared" si="4"/>
        <v>39551.190782856436</v>
      </c>
      <c r="K38" s="334">
        <f t="shared" si="5"/>
        <v>3367.4626707247385</v>
      </c>
      <c r="L38" s="332">
        <f t="shared" si="6"/>
        <v>186.86441704458983</v>
      </c>
      <c r="M38" s="332"/>
      <c r="N38" s="335">
        <f t="shared" si="7"/>
        <v>17375.996089451415</v>
      </c>
      <c r="O38" s="11"/>
      <c r="Q38" s="11"/>
      <c r="U38" s="11"/>
    </row>
    <row r="39" spans="1:21" x14ac:dyDescent="0.3">
      <c r="A39" s="331">
        <f t="shared" si="8"/>
        <v>45838</v>
      </c>
      <c r="B39" s="332">
        <f t="shared" si="9"/>
        <v>11696.12</v>
      </c>
      <c r="C39" s="332">
        <f t="shared" si="10"/>
        <v>11181.403352029551</v>
      </c>
      <c r="D39" s="332">
        <f t="shared" si="11"/>
        <v>514.71664797045037</v>
      </c>
      <c r="E39" s="332"/>
      <c r="F39" s="333">
        <f t="shared" si="12"/>
        <v>45745.783520278324</v>
      </c>
      <c r="G39" s="334">
        <f t="shared" si="2"/>
        <v>7783.4932063236756</v>
      </c>
      <c r="H39" s="332">
        <f t="shared" si="3"/>
        <v>358.29970590699673</v>
      </c>
      <c r="I39" s="332"/>
      <c r="J39" s="335">
        <f t="shared" si="4"/>
        <v>31767.697576532759</v>
      </c>
      <c r="K39" s="334">
        <f t="shared" si="5"/>
        <v>3397.910145705875</v>
      </c>
      <c r="L39" s="332">
        <f t="shared" si="6"/>
        <v>156.41694206345363</v>
      </c>
      <c r="M39" s="332"/>
      <c r="N39" s="335">
        <f t="shared" si="7"/>
        <v>13978.08594374554</v>
      </c>
      <c r="O39" s="11"/>
      <c r="Q39" s="11"/>
    </row>
    <row r="40" spans="1:21" x14ac:dyDescent="0.3">
      <c r="A40" s="331">
        <f t="shared" si="8"/>
        <v>45869</v>
      </c>
      <c r="B40" s="332">
        <f t="shared" si="9"/>
        <v>11696.12</v>
      </c>
      <c r="C40" s="332">
        <f t="shared" si="10"/>
        <v>11282.501874004151</v>
      </c>
      <c r="D40" s="332">
        <f t="shared" si="11"/>
        <v>413.61812599584982</v>
      </c>
      <c r="E40" s="332"/>
      <c r="F40" s="333">
        <f t="shared" si="12"/>
        <v>34463.281646274176</v>
      </c>
      <c r="G40" s="334">
        <f t="shared" si="2"/>
        <v>7853.868957397518</v>
      </c>
      <c r="H40" s="332">
        <f t="shared" si="3"/>
        <v>287.92395483315346</v>
      </c>
      <c r="I40" s="332"/>
      <c r="J40" s="335">
        <f t="shared" si="4"/>
        <v>23913.828619135242</v>
      </c>
      <c r="K40" s="334">
        <f t="shared" si="5"/>
        <v>3428.6329166066321</v>
      </c>
      <c r="L40" s="332">
        <f t="shared" si="6"/>
        <v>125.69417116269635</v>
      </c>
      <c r="M40" s="332"/>
      <c r="N40" s="335">
        <f t="shared" si="7"/>
        <v>10549.453027138909</v>
      </c>
      <c r="O40" s="11"/>
      <c r="Q40" s="11"/>
      <c r="T40" s="9"/>
    </row>
    <row r="41" spans="1:21" x14ac:dyDescent="0.3">
      <c r="A41" s="331">
        <f t="shared" si="8"/>
        <v>45900</v>
      </c>
      <c r="B41" s="332">
        <f t="shared" si="9"/>
        <v>11696.12</v>
      </c>
      <c r="C41" s="332">
        <f t="shared" si="10"/>
        <v>11384.514495114938</v>
      </c>
      <c r="D41" s="332">
        <f t="shared" si="11"/>
        <v>311.60550488506232</v>
      </c>
      <c r="E41" s="332"/>
      <c r="F41" s="333">
        <f t="shared" si="12"/>
        <v>23078.767151159238</v>
      </c>
      <c r="G41" s="334">
        <f t="shared" si="2"/>
        <v>7924.8810225539873</v>
      </c>
      <c r="H41" s="332">
        <f t="shared" si="3"/>
        <v>216.91188967668427</v>
      </c>
      <c r="I41" s="332"/>
      <c r="J41" s="335">
        <f t="shared" si="4"/>
        <v>15988.947596581254</v>
      </c>
      <c r="K41" s="334">
        <f t="shared" si="5"/>
        <v>3459.6334725609504</v>
      </c>
      <c r="L41" s="332">
        <f t="shared" si="6"/>
        <v>94.693615208378063</v>
      </c>
      <c r="M41" s="332"/>
      <c r="N41" s="335">
        <f t="shared" si="7"/>
        <v>7089.8195545779581</v>
      </c>
      <c r="O41" s="11"/>
      <c r="Q41" s="11"/>
      <c r="T41" s="9"/>
    </row>
    <row r="42" spans="1:21" x14ac:dyDescent="0.3">
      <c r="A42" s="331">
        <f t="shared" si="8"/>
        <v>45930</v>
      </c>
      <c r="B42" s="332">
        <f t="shared" si="9"/>
        <v>11696.12</v>
      </c>
      <c r="C42" s="332">
        <f t="shared" si="10"/>
        <v>11487.449480341602</v>
      </c>
      <c r="D42" s="332">
        <f t="shared" si="11"/>
        <v>208.67051965839812</v>
      </c>
      <c r="E42" s="332"/>
      <c r="F42" s="333">
        <f t="shared" si="12"/>
        <v>11591.317670817636</v>
      </c>
      <c r="G42" s="334">
        <f t="shared" si="2"/>
        <v>7996.5351551329131</v>
      </c>
      <c r="H42" s="332">
        <f t="shared" si="3"/>
        <v>145.25775709775866</v>
      </c>
      <c r="I42" s="332"/>
      <c r="J42" s="335">
        <f t="shared" si="4"/>
        <v>7992.4124414483413</v>
      </c>
      <c r="K42" s="334">
        <f t="shared" si="5"/>
        <v>3490.9143252086888</v>
      </c>
      <c r="L42" s="332">
        <f t="shared" si="6"/>
        <v>63.412762560639472</v>
      </c>
      <c r="M42" s="332"/>
      <c r="N42" s="335">
        <f t="shared" si="7"/>
        <v>3598.9052293692694</v>
      </c>
      <c r="O42" s="11"/>
      <c r="T42" s="9"/>
      <c r="U42" s="9"/>
    </row>
    <row r="43" spans="1:21" x14ac:dyDescent="0.3">
      <c r="A43" s="331"/>
      <c r="B43" s="407">
        <f>7905.37</f>
        <v>7905.37</v>
      </c>
      <c r="C43" s="332">
        <f t="shared" si="10"/>
        <v>7905.37</v>
      </c>
      <c r="D43" s="332">
        <v>0</v>
      </c>
      <c r="E43" s="332"/>
      <c r="F43" s="333">
        <f>F42-C43-E43</f>
        <v>3685.9476708176362</v>
      </c>
      <c r="G43" s="334">
        <f t="shared" si="2"/>
        <v>5503.0117196609635</v>
      </c>
      <c r="H43" s="332">
        <f t="shared" si="3"/>
        <v>0</v>
      </c>
      <c r="I43" s="332"/>
      <c r="J43" s="335">
        <f t="shared" si="4"/>
        <v>2489.4007217873777</v>
      </c>
      <c r="K43" s="334">
        <f t="shared" si="5"/>
        <v>2402.3582803390368</v>
      </c>
      <c r="L43" s="332">
        <f t="shared" si="6"/>
        <v>0</v>
      </c>
      <c r="M43" s="332"/>
      <c r="N43" s="335">
        <f t="shared" si="7"/>
        <v>1196.5469490302326</v>
      </c>
      <c r="O43" s="11"/>
      <c r="T43" s="9"/>
      <c r="U43" s="9"/>
    </row>
    <row r="44" spans="1:21" ht="15" thickBot="1" x14ac:dyDescent="0.35">
      <c r="A44" s="401">
        <v>45961</v>
      </c>
      <c r="B44" s="402"/>
      <c r="C44" s="402"/>
      <c r="D44" s="402">
        <v>0</v>
      </c>
      <c r="E44" s="402">
        <f>F43--2455</f>
        <v>6140.9476708176362</v>
      </c>
      <c r="F44" s="399">
        <f>F43-C44-E44</f>
        <v>-2455</v>
      </c>
      <c r="G44" s="403"/>
      <c r="H44" s="402"/>
      <c r="I44" s="402">
        <f>-J44+J43</f>
        <v>4198.3522030928279</v>
      </c>
      <c r="J44" s="406">
        <f>C47</f>
        <v>-1708.95148130545</v>
      </c>
      <c r="K44" s="403"/>
      <c r="L44" s="402"/>
      <c r="M44" s="402">
        <f>-N44+N43</f>
        <v>1942.5954677247828</v>
      </c>
      <c r="N44" s="406">
        <f>C48</f>
        <v>-746.04851869455013</v>
      </c>
      <c r="O44" s="11"/>
      <c r="T44" s="9"/>
      <c r="U44" s="9"/>
    </row>
    <row r="45" spans="1:21" x14ac:dyDescent="0.3">
      <c r="L45" s="11"/>
      <c r="O45" s="11"/>
      <c r="Q45" s="9"/>
    </row>
    <row r="46" spans="1:21" x14ac:dyDescent="0.3">
      <c r="A46" t="s">
        <v>440</v>
      </c>
      <c r="B46" s="9"/>
      <c r="C46" s="9">
        <v>-2455</v>
      </c>
      <c r="D46" s="9"/>
      <c r="E46" s="9" t="s">
        <v>444</v>
      </c>
      <c r="F46" s="9"/>
      <c r="G46" s="9"/>
      <c r="H46" s="9"/>
      <c r="I46" s="9"/>
      <c r="Q46" s="9"/>
    </row>
    <row r="47" spans="1:21" x14ac:dyDescent="0.3">
      <c r="A47" t="s">
        <v>441</v>
      </c>
      <c r="B47" s="404">
        <f>D4</f>
        <v>0.69611058301647655</v>
      </c>
      <c r="C47" s="212">
        <f>C46*B47</f>
        <v>-1708.95148130545</v>
      </c>
    </row>
    <row r="48" spans="1:21" x14ac:dyDescent="0.3">
      <c r="A48" t="s">
        <v>442</v>
      </c>
      <c r="B48" s="405">
        <f>D5</f>
        <v>0.30388941698352345</v>
      </c>
      <c r="C48" s="212">
        <f>C46*B48</f>
        <v>-746.04851869455013</v>
      </c>
      <c r="D48" s="11"/>
      <c r="E48" s="316"/>
    </row>
    <row r="49" spans="1:8" x14ac:dyDescent="0.3">
      <c r="D49" s="11"/>
    </row>
    <row r="50" spans="1:8" x14ac:dyDescent="0.3">
      <c r="D50" s="11"/>
    </row>
    <row r="52" spans="1:8" x14ac:dyDescent="0.3">
      <c r="C52" s="11"/>
      <c r="D52" s="11"/>
      <c r="E52" s="11"/>
      <c r="F52" s="9"/>
      <c r="G52" s="9"/>
      <c r="H52" s="9"/>
    </row>
    <row r="54" spans="1:8" x14ac:dyDescent="0.3">
      <c r="A54" s="11"/>
    </row>
  </sheetData>
  <mergeCells count="1">
    <mergeCell ref="A2:B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9817-8E1C-4B06-8146-390A645F1A98}">
  <sheetPr>
    <tabColor rgb="FF92D050"/>
  </sheetPr>
  <dimension ref="A2:U56"/>
  <sheetViews>
    <sheetView topLeftCell="A13" workbookViewId="0">
      <selection activeCell="F27" sqref="F27"/>
    </sheetView>
  </sheetViews>
  <sheetFormatPr defaultRowHeight="14.4" x14ac:dyDescent="0.3"/>
  <cols>
    <col min="1" max="1" width="21" bestFit="1" customWidth="1"/>
    <col min="2" max="2" width="19" bestFit="1" customWidth="1"/>
    <col min="3" max="3" width="11.5546875" bestFit="1" customWidth="1"/>
    <col min="4" max="4" width="30.88671875" bestFit="1" customWidth="1"/>
    <col min="5" max="5" width="15.88671875" bestFit="1" customWidth="1"/>
    <col min="6" max="6" width="22.44140625" bestFit="1" customWidth="1"/>
    <col min="7" max="7" width="9.5546875" bestFit="1" customWidth="1"/>
    <col min="8" max="8" width="11.33203125" bestFit="1" customWidth="1"/>
    <col min="9" max="9" width="10.109375" bestFit="1" customWidth="1"/>
    <col min="10" max="10" width="25" bestFit="1" customWidth="1"/>
    <col min="11" max="11" width="14.44140625" bestFit="1" customWidth="1"/>
    <col min="12" max="12" width="18" customWidth="1"/>
    <col min="13" max="13" width="22.109375" bestFit="1" customWidth="1"/>
    <col min="14" max="14" width="11.33203125" bestFit="1" customWidth="1"/>
    <col min="15" max="15" width="11.33203125" customWidth="1"/>
    <col min="16" max="16" width="20.33203125" bestFit="1" customWidth="1"/>
    <col min="17" max="17" width="11.33203125" customWidth="1"/>
    <col min="18" max="18" width="11.33203125" bestFit="1" customWidth="1"/>
  </cols>
  <sheetData>
    <row r="2" spans="1:18" x14ac:dyDescent="0.3">
      <c r="A2" s="444" t="s">
        <v>275</v>
      </c>
      <c r="B2" s="444"/>
      <c r="D2" t="s">
        <v>448</v>
      </c>
      <c r="R2" s="9"/>
    </row>
    <row r="3" spans="1:18" x14ac:dyDescent="0.3">
      <c r="B3" t="s">
        <v>332</v>
      </c>
      <c r="C3" t="s">
        <v>333</v>
      </c>
      <c r="D3" s="212">
        <v>1000</v>
      </c>
      <c r="F3" t="s">
        <v>335</v>
      </c>
      <c r="R3" s="9"/>
    </row>
    <row r="4" spans="1:18" x14ac:dyDescent="0.3">
      <c r="A4" t="s">
        <v>276</v>
      </c>
      <c r="B4" s="212">
        <v>94637</v>
      </c>
      <c r="C4" s="9">
        <f>61104+15130</f>
        <v>76234</v>
      </c>
      <c r="D4" s="296">
        <f>C4/C7</f>
        <v>0.66401874450164189</v>
      </c>
      <c r="E4" s="11">
        <f>D3*D4</f>
        <v>664.01874450164189</v>
      </c>
      <c r="F4" s="11">
        <f>C4+E4</f>
        <v>76898.018744501649</v>
      </c>
      <c r="R4" s="9"/>
    </row>
    <row r="5" spans="1:18" x14ac:dyDescent="0.3">
      <c r="A5" t="s">
        <v>277</v>
      </c>
      <c r="B5" s="212">
        <v>20170</v>
      </c>
      <c r="C5" s="9">
        <f>33533+5040</f>
        <v>38573</v>
      </c>
      <c r="D5" s="296">
        <f>C5/C7</f>
        <v>0.33598125549835811</v>
      </c>
      <c r="E5" s="11">
        <f>D5*D3</f>
        <v>335.98125549835811</v>
      </c>
      <c r="F5" s="11">
        <f>C5+E5</f>
        <v>38908.981255498358</v>
      </c>
      <c r="R5" s="9"/>
    </row>
    <row r="6" spans="1:18" x14ac:dyDescent="0.3">
      <c r="A6" t="s">
        <v>449</v>
      </c>
      <c r="B6" s="212">
        <v>1000</v>
      </c>
      <c r="C6" s="9"/>
      <c r="D6" s="296"/>
      <c r="E6" s="11"/>
      <c r="F6" s="11"/>
      <c r="R6" s="9"/>
    </row>
    <row r="7" spans="1:18" x14ac:dyDescent="0.3">
      <c r="B7" s="9">
        <f>SUM(B4:B6)</f>
        <v>115807</v>
      </c>
      <c r="C7" s="11">
        <f>SUM(C4:C5)</f>
        <v>114807</v>
      </c>
      <c r="R7" s="11"/>
    </row>
    <row r="8" spans="1:18" x14ac:dyDescent="0.3">
      <c r="B8" s="9"/>
      <c r="R8" s="11"/>
    </row>
    <row r="9" spans="1:18" x14ac:dyDescent="0.3">
      <c r="K9" s="9">
        <v>115807</v>
      </c>
    </row>
    <row r="10" spans="1:18" x14ac:dyDescent="0.3">
      <c r="A10" t="s">
        <v>287</v>
      </c>
      <c r="B10" s="11">
        <f>F4</f>
        <v>76898.018744501649</v>
      </c>
      <c r="D10" t="s">
        <v>288</v>
      </c>
      <c r="E10" s="11">
        <f>F5</f>
        <v>38908.981255498358</v>
      </c>
      <c r="J10" t="s">
        <v>283</v>
      </c>
      <c r="K10" s="11">
        <f>F4</f>
        <v>76898.018744501649</v>
      </c>
    </row>
    <row r="11" spans="1:18" x14ac:dyDescent="0.3">
      <c r="A11" t="s">
        <v>278</v>
      </c>
      <c r="B11" s="11">
        <f>B10/12</f>
        <v>6408.1682287084705</v>
      </c>
      <c r="D11" t="s">
        <v>278</v>
      </c>
      <c r="E11" s="11">
        <f>E10/12</f>
        <v>3242.415104624863</v>
      </c>
      <c r="J11" t="s">
        <v>285</v>
      </c>
      <c r="K11" s="11">
        <f>F5</f>
        <v>38908.981255498358</v>
      </c>
      <c r="R11" s="11"/>
    </row>
    <row r="12" spans="1:18" x14ac:dyDescent="0.3">
      <c r="R12" s="11"/>
    </row>
    <row r="13" spans="1:18" x14ac:dyDescent="0.3">
      <c r="A13" t="s">
        <v>153</v>
      </c>
      <c r="B13" s="11">
        <f t="shared" ref="B13:B24" si="0">$B$11</f>
        <v>6408.1682287084705</v>
      </c>
      <c r="D13" t="s">
        <v>153</v>
      </c>
      <c r="E13" s="11">
        <f t="shared" ref="E13:E24" si="1">$E$11</f>
        <v>3242.415104624863</v>
      </c>
      <c r="K13" s="15" t="s">
        <v>286</v>
      </c>
      <c r="L13" s="15" t="s">
        <v>261</v>
      </c>
      <c r="M13" t="s">
        <v>336</v>
      </c>
    </row>
    <row r="14" spans="1:18" x14ac:dyDescent="0.3">
      <c r="A14" t="s">
        <v>154</v>
      </c>
      <c r="B14" s="11">
        <f t="shared" si="0"/>
        <v>6408.1682287084705</v>
      </c>
      <c r="D14" t="s">
        <v>154</v>
      </c>
      <c r="E14" s="11">
        <f t="shared" si="1"/>
        <v>3242.415104624863</v>
      </c>
      <c r="J14" t="s">
        <v>289</v>
      </c>
      <c r="K14" s="212">
        <v>23161.4</v>
      </c>
      <c r="L14" s="212">
        <v>752.75</v>
      </c>
      <c r="Q14" s="9"/>
    </row>
    <row r="15" spans="1:18" x14ac:dyDescent="0.3">
      <c r="A15" t="s">
        <v>155</v>
      </c>
      <c r="B15" s="11">
        <f t="shared" si="0"/>
        <v>6408.1682287084705</v>
      </c>
      <c r="D15" t="s">
        <v>155</v>
      </c>
      <c r="E15" s="11">
        <f t="shared" si="1"/>
        <v>3242.415104624863</v>
      </c>
      <c r="J15" t="s">
        <v>290</v>
      </c>
      <c r="K15" s="9">
        <f>K14*D4</f>
        <v>15379.60374890033</v>
      </c>
      <c r="L15" s="9">
        <f>L14*D4</f>
        <v>499.84010992361095</v>
      </c>
      <c r="M15" s="11">
        <f>SUM(K15:L15)</f>
        <v>15879.443858823941</v>
      </c>
      <c r="Q15" s="9"/>
      <c r="R15" s="9"/>
    </row>
    <row r="16" spans="1:18" x14ac:dyDescent="0.3">
      <c r="A16" t="s">
        <v>156</v>
      </c>
      <c r="B16" s="11">
        <f t="shared" si="0"/>
        <v>6408.1682287084705</v>
      </c>
      <c r="D16" t="s">
        <v>156</v>
      </c>
      <c r="E16" s="11">
        <f t="shared" si="1"/>
        <v>3242.415104624863</v>
      </c>
      <c r="J16" t="s">
        <v>291</v>
      </c>
      <c r="K16" s="9">
        <f>K14*D5</f>
        <v>7781.7962510996722</v>
      </c>
      <c r="L16" s="9">
        <f>L14*D5</f>
        <v>252.90989007638908</v>
      </c>
      <c r="M16" s="11">
        <f>SUM(K16:L16)</f>
        <v>8034.7061411760615</v>
      </c>
      <c r="Q16" s="9"/>
      <c r="R16" s="9"/>
    </row>
    <row r="17" spans="1:21" x14ac:dyDescent="0.3">
      <c r="A17" t="s">
        <v>157</v>
      </c>
      <c r="B17" s="11">
        <f t="shared" si="0"/>
        <v>6408.1682287084705</v>
      </c>
      <c r="D17" t="s">
        <v>157</v>
      </c>
      <c r="E17" s="11">
        <f t="shared" si="1"/>
        <v>3242.415104624863</v>
      </c>
      <c r="Q17" s="9"/>
    </row>
    <row r="18" spans="1:21" x14ac:dyDescent="0.3">
      <c r="A18" t="s">
        <v>158</v>
      </c>
      <c r="B18" s="11">
        <f t="shared" si="0"/>
        <v>6408.1682287084705</v>
      </c>
      <c r="D18" t="s">
        <v>158</v>
      </c>
      <c r="E18" s="11">
        <f t="shared" si="1"/>
        <v>3242.415104624863</v>
      </c>
      <c r="Q18" s="9"/>
    </row>
    <row r="19" spans="1:21" x14ac:dyDescent="0.3">
      <c r="A19" t="s">
        <v>159</v>
      </c>
      <c r="B19" s="11">
        <f t="shared" si="0"/>
        <v>6408.1682287084705</v>
      </c>
      <c r="D19" t="s">
        <v>159</v>
      </c>
      <c r="E19" s="11">
        <f t="shared" si="1"/>
        <v>3242.415104624863</v>
      </c>
    </row>
    <row r="20" spans="1:21" x14ac:dyDescent="0.3">
      <c r="A20" t="s">
        <v>160</v>
      </c>
      <c r="B20" s="11">
        <f t="shared" si="0"/>
        <v>6408.1682287084705</v>
      </c>
      <c r="D20" t="s">
        <v>160</v>
      </c>
      <c r="E20" s="11">
        <f t="shared" si="1"/>
        <v>3242.415104624863</v>
      </c>
    </row>
    <row r="21" spans="1:21" x14ac:dyDescent="0.3">
      <c r="A21" t="s">
        <v>161</v>
      </c>
      <c r="B21" s="11">
        <f t="shared" si="0"/>
        <v>6408.1682287084705</v>
      </c>
      <c r="D21" t="s">
        <v>161</v>
      </c>
      <c r="E21" s="11">
        <f t="shared" si="1"/>
        <v>3242.415104624863</v>
      </c>
    </row>
    <row r="22" spans="1:21" x14ac:dyDescent="0.3">
      <c r="A22" t="s">
        <v>162</v>
      </c>
      <c r="B22" s="11">
        <f t="shared" si="0"/>
        <v>6408.1682287084705</v>
      </c>
      <c r="D22" t="s">
        <v>162</v>
      </c>
      <c r="E22" s="11">
        <f t="shared" si="1"/>
        <v>3242.415104624863</v>
      </c>
    </row>
    <row r="23" spans="1:21" x14ac:dyDescent="0.3">
      <c r="A23" t="s">
        <v>279</v>
      </c>
      <c r="B23" s="11">
        <f t="shared" si="0"/>
        <v>6408.1682287084705</v>
      </c>
      <c r="D23" t="s">
        <v>279</v>
      </c>
      <c r="E23" s="11">
        <f t="shared" si="1"/>
        <v>3242.415104624863</v>
      </c>
    </row>
    <row r="24" spans="1:21" x14ac:dyDescent="0.3">
      <c r="A24" t="s">
        <v>274</v>
      </c>
      <c r="B24" s="11">
        <f t="shared" si="0"/>
        <v>6408.1682287084705</v>
      </c>
      <c r="D24" t="s">
        <v>274</v>
      </c>
      <c r="E24" s="11">
        <f t="shared" si="1"/>
        <v>3242.415104624863</v>
      </c>
    </row>
    <row r="26" spans="1:21" x14ac:dyDescent="0.3">
      <c r="B26" s="11">
        <f>SUM(B13:B25)</f>
        <v>76898.018744501649</v>
      </c>
      <c r="E26" s="11">
        <f>SUM(E13:E25)</f>
        <v>38908.981255498358</v>
      </c>
    </row>
    <row r="28" spans="1:21" x14ac:dyDescent="0.3">
      <c r="A28" s="408">
        <v>92645.6</v>
      </c>
    </row>
    <row r="29" spans="1:21" x14ac:dyDescent="0.3">
      <c r="A29" s="409">
        <v>0.1052</v>
      </c>
    </row>
    <row r="30" spans="1:21" x14ac:dyDescent="0.3">
      <c r="A30" s="212">
        <v>9717.11</v>
      </c>
    </row>
    <row r="31" spans="1:21" ht="15" thickBot="1" x14ac:dyDescent="0.35">
      <c r="A31" s="9"/>
      <c r="C31" s="11">
        <f>SUM(C36:C37)*0.4</f>
        <v>7155.1601006193787</v>
      </c>
      <c r="D31" s="11"/>
      <c r="E31" s="11"/>
      <c r="M31" s="287"/>
      <c r="N31" s="287"/>
      <c r="O31" s="287"/>
      <c r="P31" s="287"/>
    </row>
    <row r="32" spans="1:21" x14ac:dyDescent="0.3">
      <c r="A32" s="318"/>
      <c r="B32" s="319"/>
      <c r="C32" s="319"/>
      <c r="D32" s="319"/>
      <c r="E32" s="319"/>
      <c r="F32" s="320" t="s">
        <v>292</v>
      </c>
      <c r="G32" s="322"/>
      <c r="H32" s="319"/>
      <c r="I32" s="319"/>
      <c r="J32" s="320"/>
      <c r="K32" s="322"/>
      <c r="L32" s="323"/>
      <c r="M32" s="323"/>
      <c r="N32" s="324"/>
      <c r="P32" s="287"/>
      <c r="Q32" s="288"/>
      <c r="R32" s="287" t="s">
        <v>170</v>
      </c>
      <c r="S32" s="287" t="s">
        <v>171</v>
      </c>
      <c r="U32" s="9"/>
    </row>
    <row r="33" spans="1:21" ht="43.2" x14ac:dyDescent="0.3">
      <c r="A33" s="400"/>
      <c r="B33" s="321" t="s">
        <v>163</v>
      </c>
      <c r="C33" s="321" t="s">
        <v>164</v>
      </c>
      <c r="D33" s="321" t="s">
        <v>167</v>
      </c>
      <c r="E33" s="321"/>
      <c r="F33" s="326">
        <f>A28</f>
        <v>92645.6</v>
      </c>
      <c r="G33" s="325" t="s">
        <v>165</v>
      </c>
      <c r="H33" s="321" t="s">
        <v>165</v>
      </c>
      <c r="I33" s="321" t="s">
        <v>439</v>
      </c>
      <c r="J33" s="326" t="s">
        <v>168</v>
      </c>
      <c r="K33" s="325" t="s">
        <v>166</v>
      </c>
      <c r="L33" s="321" t="s">
        <v>166</v>
      </c>
      <c r="M33" s="321" t="s">
        <v>439</v>
      </c>
      <c r="N33" s="326" t="s">
        <v>169</v>
      </c>
      <c r="O33" s="293"/>
      <c r="P33" s="287"/>
      <c r="Q33" s="410"/>
      <c r="R33" s="289">
        <f>D4</f>
        <v>0.66401874450164189</v>
      </c>
      <c r="S33" s="289">
        <f>D5</f>
        <v>0.33598125549835811</v>
      </c>
      <c r="U33" s="11"/>
    </row>
    <row r="34" spans="1:21" x14ac:dyDescent="0.3">
      <c r="A34" s="331">
        <v>45991</v>
      </c>
      <c r="B34" s="321"/>
      <c r="C34" s="321"/>
      <c r="D34" s="321"/>
      <c r="E34" s="321"/>
      <c r="F34" s="326"/>
      <c r="G34" s="325"/>
      <c r="H34" s="321"/>
      <c r="I34" s="321"/>
      <c r="J34" s="326">
        <f>K10-K15</f>
        <v>61518.414995601321</v>
      </c>
      <c r="K34" s="325"/>
      <c r="L34" s="321"/>
      <c r="M34" s="321"/>
      <c r="N34" s="326">
        <f>E10-K16</f>
        <v>31127.185004398685</v>
      </c>
      <c r="O34" s="293"/>
      <c r="P34" s="287"/>
      <c r="Q34" s="287"/>
      <c r="R34" s="289"/>
      <c r="S34" s="289"/>
      <c r="U34" s="11"/>
    </row>
    <row r="35" spans="1:21" x14ac:dyDescent="0.3">
      <c r="A35" s="331">
        <f>EOMONTH(A34,1)</f>
        <v>46022</v>
      </c>
      <c r="B35" s="321"/>
      <c r="C35" s="321"/>
      <c r="D35" s="321"/>
      <c r="E35" s="321"/>
      <c r="F35" s="326">
        <f>F33</f>
        <v>92645.6</v>
      </c>
      <c r="G35" s="325"/>
      <c r="H35" s="321"/>
      <c r="I35" s="321"/>
      <c r="J35" s="326">
        <f>J34</f>
        <v>61518.414995601321</v>
      </c>
      <c r="K35" s="325"/>
      <c r="L35" s="321"/>
      <c r="M35" s="321"/>
      <c r="N35" s="326">
        <f>N34</f>
        <v>31127.185004398685</v>
      </c>
      <c r="O35" s="293"/>
      <c r="P35" s="287"/>
      <c r="Q35" s="287"/>
      <c r="R35" s="289"/>
      <c r="S35" s="289"/>
      <c r="U35" s="11"/>
    </row>
    <row r="36" spans="1:21" x14ac:dyDescent="0.3">
      <c r="A36" s="331">
        <f t="shared" ref="A36:A45" si="2">EOMONTH(A35,1)</f>
        <v>46053</v>
      </c>
      <c r="B36" s="332">
        <f t="shared" ref="B36:B45" si="3">$A$30</f>
        <v>9717.11</v>
      </c>
      <c r="C36" s="332">
        <f>B36-D36</f>
        <v>8904.9169066666673</v>
      </c>
      <c r="D36" s="332">
        <f>((F33*$A$29)/12)</f>
        <v>812.19309333333342</v>
      </c>
      <c r="E36" s="332"/>
      <c r="F36" s="333">
        <f>F33-C36</f>
        <v>83740.68309333334</v>
      </c>
      <c r="G36" s="334">
        <f t="shared" ref="G36:H45" si="4">C36*$D$4</f>
        <v>5913.0317442562446</v>
      </c>
      <c r="H36" s="332">
        <f t="shared" si="4"/>
        <v>539.3114381281049</v>
      </c>
      <c r="I36" s="332"/>
      <c r="J36" s="335">
        <f>J34-G36</f>
        <v>55605.383251345076</v>
      </c>
      <c r="K36" s="334">
        <f t="shared" ref="K36:L45" si="5">C36*$D$5</f>
        <v>2991.8851624104223</v>
      </c>
      <c r="L36" s="332">
        <f t="shared" si="5"/>
        <v>272.88165520522853</v>
      </c>
      <c r="M36" s="332"/>
      <c r="N36" s="335">
        <f>N34-K36</f>
        <v>28135.299841988264</v>
      </c>
      <c r="O36" s="11"/>
      <c r="P36" s="287" t="s">
        <v>172</v>
      </c>
      <c r="Q36" s="410"/>
      <c r="R36" s="288">
        <f>Q36*R33</f>
        <v>0</v>
      </c>
      <c r="S36" s="288">
        <f>Q36*S33</f>
        <v>0</v>
      </c>
      <c r="U36" s="11"/>
    </row>
    <row r="37" spans="1:21" x14ac:dyDescent="0.3">
      <c r="A37" s="331">
        <f t="shared" si="2"/>
        <v>46081</v>
      </c>
      <c r="B37" s="332">
        <f t="shared" si="3"/>
        <v>9717.11</v>
      </c>
      <c r="C37" s="332">
        <f t="shared" ref="C37:C45" si="6">B37-D37</f>
        <v>8982.983344881779</v>
      </c>
      <c r="D37" s="332">
        <f t="shared" ref="D37:D45" si="7">((F36*$A$29)/12)</f>
        <v>734.1266551182224</v>
      </c>
      <c r="E37" s="332"/>
      <c r="F37" s="333">
        <f t="shared" ref="F37:F45" si="8">F36-C37</f>
        <v>74757.69974845156</v>
      </c>
      <c r="G37" s="334">
        <f t="shared" si="4"/>
        <v>5964.8693225475581</v>
      </c>
      <c r="H37" s="332">
        <f t="shared" si="4"/>
        <v>487.47385983679192</v>
      </c>
      <c r="I37" s="332"/>
      <c r="J37" s="335">
        <f t="shared" ref="J37:J45" si="9">J36-G37</f>
        <v>49640.513928797518</v>
      </c>
      <c r="K37" s="334">
        <f t="shared" si="5"/>
        <v>3018.1140223342204</v>
      </c>
      <c r="L37" s="332">
        <f t="shared" si="5"/>
        <v>246.65279528143051</v>
      </c>
      <c r="M37" s="332"/>
      <c r="N37" s="335">
        <f t="shared" ref="N37:N45" si="10">N36-K37</f>
        <v>25117.185819654045</v>
      </c>
      <c r="O37" s="11"/>
      <c r="P37" s="287" t="s">
        <v>173</v>
      </c>
      <c r="Q37" s="410"/>
      <c r="R37" s="288">
        <f>Q37*R33</f>
        <v>0</v>
      </c>
      <c r="S37" s="288">
        <f>Q37*S33</f>
        <v>0</v>
      </c>
    </row>
    <row r="38" spans="1:21" x14ac:dyDescent="0.3">
      <c r="A38" s="331">
        <f t="shared" si="2"/>
        <v>46112</v>
      </c>
      <c r="B38" s="332">
        <f t="shared" si="3"/>
        <v>9717.11</v>
      </c>
      <c r="C38" s="332">
        <f t="shared" si="6"/>
        <v>9061.7341655385753</v>
      </c>
      <c r="D38" s="332">
        <f t="shared" si="7"/>
        <v>655.37583446142537</v>
      </c>
      <c r="E38" s="332"/>
      <c r="F38" s="333">
        <f t="shared" si="8"/>
        <v>65695.965582912992</v>
      </c>
      <c r="G38" s="334">
        <f t="shared" si="4"/>
        <v>6017.1613436085581</v>
      </c>
      <c r="H38" s="332">
        <f t="shared" si="4"/>
        <v>435.18183877579156</v>
      </c>
      <c r="I38" s="332"/>
      <c r="J38" s="335">
        <f t="shared" si="9"/>
        <v>43623.352585188957</v>
      </c>
      <c r="K38" s="334">
        <f t="shared" si="5"/>
        <v>3044.5728219300172</v>
      </c>
      <c r="L38" s="332">
        <f t="shared" si="5"/>
        <v>220.19399568563381</v>
      </c>
      <c r="M38" s="332"/>
      <c r="N38" s="335">
        <f t="shared" si="10"/>
        <v>22072.612997724027</v>
      </c>
      <c r="O38" s="11"/>
      <c r="Q38" s="9"/>
    </row>
    <row r="39" spans="1:21" x14ac:dyDescent="0.3">
      <c r="A39" s="331">
        <f t="shared" si="2"/>
        <v>46142</v>
      </c>
      <c r="B39" s="332">
        <f t="shared" si="3"/>
        <v>9717.11</v>
      </c>
      <c r="C39" s="332">
        <f t="shared" si="6"/>
        <v>9141.1753683897969</v>
      </c>
      <c r="D39" s="332">
        <f t="shared" si="7"/>
        <v>575.93463161020384</v>
      </c>
      <c r="E39" s="332"/>
      <c r="F39" s="333">
        <f t="shared" si="8"/>
        <v>56554.790214523193</v>
      </c>
      <c r="G39" s="334">
        <f t="shared" si="4"/>
        <v>6069.911791387527</v>
      </c>
      <c r="H39" s="332">
        <f t="shared" si="4"/>
        <v>382.43139099682321</v>
      </c>
      <c r="I39" s="332"/>
      <c r="J39" s="335">
        <f t="shared" si="9"/>
        <v>37553.440793801434</v>
      </c>
      <c r="K39" s="334">
        <f t="shared" si="5"/>
        <v>3071.2635770022703</v>
      </c>
      <c r="L39" s="332">
        <f t="shared" si="5"/>
        <v>193.50324061338065</v>
      </c>
      <c r="M39" s="332"/>
      <c r="N39" s="335">
        <f t="shared" si="10"/>
        <v>19001.349420721755</v>
      </c>
      <c r="O39" s="11"/>
      <c r="R39" s="11">
        <f>SUM(R36:R38)</f>
        <v>0</v>
      </c>
      <c r="S39" s="11">
        <f>SUM(S36:S38)</f>
        <v>0</v>
      </c>
      <c r="U39" s="11"/>
    </row>
    <row r="40" spans="1:21" x14ac:dyDescent="0.3">
      <c r="A40" s="331">
        <f t="shared" si="2"/>
        <v>46173</v>
      </c>
      <c r="B40" s="332">
        <f t="shared" si="3"/>
        <v>9717.11</v>
      </c>
      <c r="C40" s="332">
        <f t="shared" si="6"/>
        <v>9221.3130057860144</v>
      </c>
      <c r="D40" s="332">
        <f t="shared" si="7"/>
        <v>495.79699421398664</v>
      </c>
      <c r="E40" s="332"/>
      <c r="F40" s="333">
        <f t="shared" si="8"/>
        <v>47333.477208737182</v>
      </c>
      <c r="G40" s="334">
        <f t="shared" si="4"/>
        <v>6123.1246847586908</v>
      </c>
      <c r="H40" s="332">
        <f t="shared" si="4"/>
        <v>329.21849762565921</v>
      </c>
      <c r="I40" s="332"/>
      <c r="J40" s="335">
        <f t="shared" si="9"/>
        <v>31430.316109042742</v>
      </c>
      <c r="K40" s="334">
        <f t="shared" si="5"/>
        <v>3098.1883210273236</v>
      </c>
      <c r="L40" s="332">
        <f t="shared" si="5"/>
        <v>166.57849658832743</v>
      </c>
      <c r="M40" s="332"/>
      <c r="N40" s="335">
        <f t="shared" si="10"/>
        <v>15903.161099694433</v>
      </c>
      <c r="O40" s="11"/>
      <c r="Q40" s="11"/>
      <c r="U40" s="11"/>
    </row>
    <row r="41" spans="1:21" x14ac:dyDescent="0.3">
      <c r="A41" s="331">
        <f t="shared" si="2"/>
        <v>46203</v>
      </c>
      <c r="B41" s="332">
        <f t="shared" si="3"/>
        <v>9717.11</v>
      </c>
      <c r="C41" s="332">
        <f t="shared" si="6"/>
        <v>9302.1531831367374</v>
      </c>
      <c r="D41" s="332">
        <f t="shared" si="7"/>
        <v>414.95681686326265</v>
      </c>
      <c r="E41" s="332"/>
      <c r="F41" s="333">
        <f t="shared" si="8"/>
        <v>38031.324025600443</v>
      </c>
      <c r="G41" s="334">
        <f t="shared" si="4"/>
        <v>6176.8040778284085</v>
      </c>
      <c r="H41" s="332">
        <f t="shared" si="4"/>
        <v>275.53910455594138</v>
      </c>
      <c r="I41" s="332"/>
      <c r="J41" s="335">
        <f t="shared" si="9"/>
        <v>25253.512031214334</v>
      </c>
      <c r="K41" s="334">
        <f t="shared" si="5"/>
        <v>3125.3491053083294</v>
      </c>
      <c r="L41" s="332">
        <f t="shared" si="5"/>
        <v>139.41771230732124</v>
      </c>
      <c r="M41" s="332"/>
      <c r="N41" s="335">
        <f t="shared" si="10"/>
        <v>12777.811994386104</v>
      </c>
      <c r="O41" s="11"/>
      <c r="Q41" s="11"/>
    </row>
    <row r="42" spans="1:21" x14ac:dyDescent="0.3">
      <c r="A42" s="331">
        <f t="shared" si="2"/>
        <v>46234</v>
      </c>
      <c r="B42" s="332">
        <f t="shared" si="3"/>
        <v>9717.11</v>
      </c>
      <c r="C42" s="332">
        <f t="shared" si="6"/>
        <v>9383.7020593755697</v>
      </c>
      <c r="D42" s="332">
        <f t="shared" si="7"/>
        <v>333.40794062443052</v>
      </c>
      <c r="E42" s="332"/>
      <c r="F42" s="333">
        <f t="shared" si="8"/>
        <v>28647.621966224873</v>
      </c>
      <c r="G42" s="334">
        <f t="shared" si="4"/>
        <v>6230.9540602440375</v>
      </c>
      <c r="H42" s="332">
        <f t="shared" si="4"/>
        <v>221.38912214031231</v>
      </c>
      <c r="I42" s="332"/>
      <c r="J42" s="335">
        <f t="shared" si="9"/>
        <v>19022.557970970294</v>
      </c>
      <c r="K42" s="334">
        <f t="shared" si="5"/>
        <v>3152.7479991315327</v>
      </c>
      <c r="L42" s="332">
        <f t="shared" si="5"/>
        <v>112.0188184841182</v>
      </c>
      <c r="M42" s="332"/>
      <c r="N42" s="335">
        <f t="shared" si="10"/>
        <v>9625.0639952545716</v>
      </c>
      <c r="O42" s="11"/>
      <c r="Q42" s="11"/>
      <c r="T42" s="9"/>
    </row>
    <row r="43" spans="1:21" x14ac:dyDescent="0.3">
      <c r="A43" s="331">
        <f t="shared" si="2"/>
        <v>46265</v>
      </c>
      <c r="B43" s="332">
        <f t="shared" si="3"/>
        <v>9717.11</v>
      </c>
      <c r="C43" s="332">
        <f t="shared" si="6"/>
        <v>9465.9658474294283</v>
      </c>
      <c r="D43" s="332">
        <f t="shared" si="7"/>
        <v>251.14415257057138</v>
      </c>
      <c r="E43" s="332"/>
      <c r="F43" s="333">
        <f t="shared" si="8"/>
        <v>19181.656118795443</v>
      </c>
      <c r="G43" s="334">
        <f t="shared" si="4"/>
        <v>6285.5787575055092</v>
      </c>
      <c r="H43" s="332">
        <f t="shared" si="4"/>
        <v>166.76442487883961</v>
      </c>
      <c r="I43" s="332"/>
      <c r="J43" s="335">
        <f t="shared" si="9"/>
        <v>12736.979213464785</v>
      </c>
      <c r="K43" s="334">
        <f t="shared" si="5"/>
        <v>3180.3870899239187</v>
      </c>
      <c r="L43" s="332">
        <f t="shared" si="5"/>
        <v>84.379727691731773</v>
      </c>
      <c r="M43" s="332"/>
      <c r="N43" s="335">
        <f t="shared" si="10"/>
        <v>6444.6769053306525</v>
      </c>
      <c r="O43" s="11"/>
      <c r="Q43" s="11"/>
      <c r="T43" s="9"/>
    </row>
    <row r="44" spans="1:21" x14ac:dyDescent="0.3">
      <c r="A44" s="331">
        <f t="shared" si="2"/>
        <v>46295</v>
      </c>
      <c r="B44" s="332">
        <f t="shared" si="3"/>
        <v>9717.11</v>
      </c>
      <c r="C44" s="332">
        <f t="shared" si="6"/>
        <v>9548.9508146918943</v>
      </c>
      <c r="D44" s="332">
        <f t="shared" si="7"/>
        <v>168.15918530810671</v>
      </c>
      <c r="E44" s="332"/>
      <c r="F44" s="333">
        <f t="shared" si="8"/>
        <v>9632.7053041035488</v>
      </c>
      <c r="G44" s="334">
        <f t="shared" si="4"/>
        <v>6340.6823312796423</v>
      </c>
      <c r="H44" s="332">
        <f t="shared" si="4"/>
        <v>111.66085110470796</v>
      </c>
      <c r="I44" s="332"/>
      <c r="J44" s="335">
        <f t="shared" si="9"/>
        <v>6396.2968821851427</v>
      </c>
      <c r="K44" s="334">
        <f t="shared" si="5"/>
        <v>3208.268483412252</v>
      </c>
      <c r="L44" s="332">
        <f t="shared" si="5"/>
        <v>56.498334203398748</v>
      </c>
      <c r="M44" s="332"/>
      <c r="N44" s="335">
        <f t="shared" si="10"/>
        <v>3236.4084219184006</v>
      </c>
      <c r="O44" s="11"/>
      <c r="T44" s="9"/>
      <c r="U44" s="9"/>
    </row>
    <row r="45" spans="1:21" x14ac:dyDescent="0.3">
      <c r="A45" s="331">
        <f t="shared" si="2"/>
        <v>46326</v>
      </c>
      <c r="B45" s="332">
        <f t="shared" si="3"/>
        <v>9717.11</v>
      </c>
      <c r="C45" s="332">
        <f t="shared" si="6"/>
        <v>9632.6632835006931</v>
      </c>
      <c r="D45" s="332">
        <f t="shared" si="7"/>
        <v>84.446716499307783</v>
      </c>
      <c r="E45" s="332"/>
      <c r="F45" s="333">
        <f t="shared" si="8"/>
        <v>4.2020602855700417E-2</v>
      </c>
      <c r="G45" s="334">
        <f t="shared" si="4"/>
        <v>6396.2689797171934</v>
      </c>
      <c r="H45" s="332">
        <f t="shared" si="4"/>
        <v>56.074202667156442</v>
      </c>
      <c r="I45" s="332"/>
      <c r="J45" s="335">
        <f t="shared" si="9"/>
        <v>2.7902467949388665E-2</v>
      </c>
      <c r="K45" s="334">
        <f t="shared" si="5"/>
        <v>3236.3943037834997</v>
      </c>
      <c r="L45" s="332">
        <f t="shared" si="5"/>
        <v>28.372513832151341</v>
      </c>
      <c r="M45" s="332"/>
      <c r="N45" s="335">
        <f t="shared" si="10"/>
        <v>1.4118134900854784E-2</v>
      </c>
      <c r="O45" s="11"/>
      <c r="T45" s="9"/>
      <c r="U45" s="9"/>
    </row>
    <row r="46" spans="1:21" ht="15" thickBot="1" x14ac:dyDescent="0.35">
      <c r="A46" s="402"/>
      <c r="B46" s="402"/>
      <c r="C46" s="402"/>
      <c r="D46" s="402"/>
      <c r="E46" s="402"/>
      <c r="F46" s="402"/>
      <c r="G46" s="403"/>
      <c r="H46" s="402"/>
      <c r="I46" s="402"/>
      <c r="J46" s="402"/>
      <c r="K46" s="403"/>
      <c r="L46" s="402"/>
      <c r="M46" s="402"/>
      <c r="N46" s="402"/>
      <c r="O46" s="11"/>
      <c r="T46" s="9"/>
      <c r="U46" s="9"/>
    </row>
    <row r="47" spans="1:21" x14ac:dyDescent="0.3">
      <c r="L47" s="11"/>
      <c r="O47" s="11"/>
      <c r="Q47" s="9"/>
    </row>
    <row r="48" spans="1:21" x14ac:dyDescent="0.3">
      <c r="H48" s="9"/>
      <c r="I48" s="9"/>
      <c r="Q48" s="9"/>
    </row>
    <row r="52" spans="1:8" x14ac:dyDescent="0.3">
      <c r="D52" s="11"/>
    </row>
    <row r="54" spans="1:8" x14ac:dyDescent="0.3">
      <c r="C54" s="11"/>
      <c r="D54" s="11"/>
      <c r="E54" s="11"/>
      <c r="F54" s="9"/>
      <c r="G54" s="9"/>
      <c r="H54" s="9"/>
    </row>
    <row r="56" spans="1:8" x14ac:dyDescent="0.3">
      <c r="A56" s="11"/>
    </row>
  </sheetData>
  <mergeCells count="1">
    <mergeCell ref="A2:B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EFEB-ECA4-4619-BAA0-E6997271D036}">
  <sheetPr>
    <tabColor theme="0" tint="-0.499984740745262"/>
  </sheetPr>
  <dimension ref="A1:P72"/>
  <sheetViews>
    <sheetView topLeftCell="A28" workbookViewId="0">
      <selection activeCell="N5" sqref="N5"/>
    </sheetView>
  </sheetViews>
  <sheetFormatPr defaultColWidth="8.88671875" defaultRowHeight="14.4" x14ac:dyDescent="0.3"/>
  <cols>
    <col min="1" max="1" width="12.44140625" style="218" bestFit="1" customWidth="1"/>
    <col min="2" max="2" width="14.109375" style="218" bestFit="1" customWidth="1"/>
    <col min="3" max="3" width="11.5546875" style="218" bestFit="1" customWidth="1"/>
    <col min="4" max="4" width="12.109375" style="218" customWidth="1"/>
    <col min="5" max="5" width="9.5546875" style="218" bestFit="1" customWidth="1"/>
    <col min="6" max="6" width="11.5546875" style="218" bestFit="1" customWidth="1"/>
    <col min="7" max="7" width="16.6640625" style="218" bestFit="1" customWidth="1"/>
    <col min="8" max="8" width="10.6640625" style="218" bestFit="1" customWidth="1"/>
    <col min="9" max="9" width="8.88671875" style="218"/>
    <col min="10" max="10" width="12.5546875" style="218" bestFit="1" customWidth="1"/>
    <col min="11" max="11" width="10.6640625" style="218" bestFit="1" customWidth="1"/>
    <col min="12" max="12" width="20.6640625" style="218" customWidth="1"/>
    <col min="13" max="13" width="17.44140625" style="218" bestFit="1" customWidth="1"/>
    <col min="14" max="14" width="11.88671875" style="218" bestFit="1" customWidth="1"/>
    <col min="15" max="16" width="10.5546875" style="218" bestFit="1" customWidth="1"/>
    <col min="17" max="16384" width="8.88671875" style="218"/>
  </cols>
  <sheetData>
    <row r="1" spans="1:16" x14ac:dyDescent="0.3">
      <c r="A1" s="217">
        <v>273000</v>
      </c>
      <c r="D1" s="219"/>
      <c r="E1" s="219"/>
      <c r="F1" s="219"/>
      <c r="G1" s="219"/>
    </row>
    <row r="2" spans="1:16" x14ac:dyDescent="0.3">
      <c r="A2" s="218">
        <v>60</v>
      </c>
      <c r="B2" s="218" t="s">
        <v>174</v>
      </c>
      <c r="C2" s="220">
        <v>5935.68</v>
      </c>
      <c r="D2" s="219"/>
      <c r="E2" s="219"/>
      <c r="F2" s="219"/>
      <c r="G2" s="219"/>
    </row>
    <row r="3" spans="1:16" x14ac:dyDescent="0.3">
      <c r="A3" s="221">
        <v>0.11</v>
      </c>
      <c r="B3" s="218" t="s">
        <v>175</v>
      </c>
      <c r="D3" s="219"/>
      <c r="E3" s="219"/>
      <c r="F3" s="219"/>
      <c r="G3" s="219"/>
    </row>
    <row r="4" spans="1:16" x14ac:dyDescent="0.3">
      <c r="A4" s="222">
        <f>A3/12</f>
        <v>9.1666666666666667E-3</v>
      </c>
      <c r="B4" s="218" t="s">
        <v>176</v>
      </c>
      <c r="D4" s="219"/>
      <c r="E4" s="219"/>
      <c r="F4" s="219"/>
      <c r="G4" s="219"/>
    </row>
    <row r="5" spans="1:16" x14ac:dyDescent="0.3">
      <c r="A5" s="223"/>
      <c r="B5" s="223"/>
      <c r="C5" s="219"/>
      <c r="D5" s="219"/>
      <c r="E5" s="219"/>
      <c r="F5" s="219"/>
      <c r="G5" s="219"/>
      <c r="J5" s="224" t="s">
        <v>177</v>
      </c>
      <c r="K5" s="272">
        <v>45777</v>
      </c>
      <c r="L5" s="222"/>
      <c r="M5" s="222" t="s">
        <v>178</v>
      </c>
      <c r="N5" s="225">
        <f>SUMIF(H:H,"&lt;="&amp;DATE(YEAR(K5),MONTH(K5)+12,DAY(K5)),D:D)-SUMIF(H:H,"&lt;"&amp;K5+1,D:D)</f>
        <v>4.5266328379511833E-4</v>
      </c>
      <c r="O5" s="226"/>
      <c r="P5" s="226">
        <f>N5-O5</f>
        <v>4.5266328379511833E-4</v>
      </c>
    </row>
    <row r="6" spans="1:16" x14ac:dyDescent="0.3">
      <c r="A6" s="223"/>
      <c r="B6" s="223"/>
      <c r="C6" s="219"/>
      <c r="D6" s="219"/>
      <c r="E6" s="219"/>
      <c r="F6" s="219"/>
      <c r="G6" s="219"/>
      <c r="J6" s="222"/>
      <c r="K6" s="222"/>
      <c r="L6" s="222"/>
      <c r="M6" s="222" t="s">
        <v>179</v>
      </c>
      <c r="N6" s="227">
        <f>INDEX(B:F,MATCH(K5,H:H,0),5)-N5</f>
        <v>-4.3644141405820847E-3</v>
      </c>
      <c r="P6" s="226">
        <f>N6-O6</f>
        <v>-4.3644141405820847E-3</v>
      </c>
    </row>
    <row r="7" spans="1:16" x14ac:dyDescent="0.3">
      <c r="A7" s="228"/>
      <c r="B7" s="228"/>
      <c r="C7" s="226"/>
      <c r="D7" s="226"/>
      <c r="E7" s="226"/>
      <c r="F7" s="226"/>
      <c r="G7" s="226"/>
      <c r="J7" s="222"/>
      <c r="K7" s="222"/>
      <c r="L7" s="222"/>
      <c r="M7" s="224" t="s">
        <v>7</v>
      </c>
      <c r="N7" s="229">
        <f>N6+N5</f>
        <v>-3.9117508567869663E-3</v>
      </c>
    </row>
    <row r="8" spans="1:16" x14ac:dyDescent="0.3">
      <c r="A8" s="228"/>
      <c r="B8" s="228"/>
      <c r="C8" s="230" t="s">
        <v>11</v>
      </c>
      <c r="D8" s="230" t="s">
        <v>38</v>
      </c>
      <c r="E8" s="230" t="s">
        <v>12</v>
      </c>
      <c r="F8" s="230" t="s">
        <v>180</v>
      </c>
      <c r="G8" s="230" t="s">
        <v>181</v>
      </c>
      <c r="H8" s="218" t="s">
        <v>8</v>
      </c>
      <c r="J8" s="222"/>
      <c r="K8" s="222"/>
      <c r="L8" s="222"/>
      <c r="M8" s="231" t="s">
        <v>37</v>
      </c>
      <c r="N8" s="232">
        <f>INDEX(B:F,MATCH(K5,H:H,0),5)-N7</f>
        <v>0</v>
      </c>
    </row>
    <row r="9" spans="1:16" x14ac:dyDescent="0.3">
      <c r="A9" s="233">
        <v>44698</v>
      </c>
      <c r="B9" s="234">
        <v>0</v>
      </c>
      <c r="C9" s="235"/>
      <c r="D9" s="236"/>
      <c r="E9" s="236"/>
      <c r="F9" s="236">
        <f>A1-C9</f>
        <v>273000</v>
      </c>
      <c r="G9" s="236"/>
      <c r="H9" s="233">
        <v>44698</v>
      </c>
    </row>
    <row r="10" spans="1:16" x14ac:dyDescent="0.3">
      <c r="A10" s="233">
        <v>44688</v>
      </c>
      <c r="B10" s="234">
        <v>1</v>
      </c>
      <c r="C10" s="237">
        <f>$C$2</f>
        <v>5935.68</v>
      </c>
      <c r="D10" s="236">
        <f>C10-E10</f>
        <v>3433.1800000000003</v>
      </c>
      <c r="E10" s="236">
        <f>(F9+G9)*(1/12)*$A$3</f>
        <v>2502.5</v>
      </c>
      <c r="F10" s="236">
        <f>F9-D10</f>
        <v>269566.82</v>
      </c>
      <c r="G10" s="236"/>
      <c r="H10" s="233">
        <v>44688</v>
      </c>
    </row>
    <row r="11" spans="1:16" x14ac:dyDescent="0.3">
      <c r="A11" s="233">
        <f t="shared" ref="A11:A69" si="0">EOMONTH(A10,1)</f>
        <v>44742</v>
      </c>
      <c r="B11" s="234">
        <v>2</v>
      </c>
      <c r="C11" s="237">
        <f t="shared" ref="C11:C44" si="1">$C$2</f>
        <v>5935.68</v>
      </c>
      <c r="D11" s="236">
        <f t="shared" ref="D11:D69" si="2">C11-E11</f>
        <v>3464.6508166666672</v>
      </c>
      <c r="E11" s="236">
        <f t="shared" ref="E11:E69" si="3">(F10+G10)*(1/12)*$A$3</f>
        <v>2471.0291833333331</v>
      </c>
      <c r="F11" s="236">
        <f t="shared" ref="F11:F69" si="4">F10-D11</f>
        <v>266102.16918333335</v>
      </c>
      <c r="G11" s="236"/>
      <c r="H11" s="233">
        <f t="shared" ref="H11:H69" si="5">EOMONTH(H10,1)</f>
        <v>44742</v>
      </c>
    </row>
    <row r="12" spans="1:16" x14ac:dyDescent="0.3">
      <c r="A12" s="233">
        <f t="shared" si="0"/>
        <v>44773</v>
      </c>
      <c r="B12" s="234">
        <v>3</v>
      </c>
      <c r="C12" s="237">
        <f t="shared" si="1"/>
        <v>5935.68</v>
      </c>
      <c r="D12" s="236">
        <f t="shared" si="2"/>
        <v>3496.4101158194444</v>
      </c>
      <c r="E12" s="236">
        <f t="shared" si="3"/>
        <v>2439.2698841805559</v>
      </c>
      <c r="F12" s="236">
        <f t="shared" si="4"/>
        <v>262605.75906751392</v>
      </c>
      <c r="G12" s="236"/>
      <c r="H12" s="233">
        <f t="shared" si="5"/>
        <v>44773</v>
      </c>
    </row>
    <row r="13" spans="1:16" x14ac:dyDescent="0.3">
      <c r="A13" s="233">
        <f t="shared" si="0"/>
        <v>44804</v>
      </c>
      <c r="B13" s="234">
        <v>4</v>
      </c>
      <c r="C13" s="237">
        <f t="shared" si="1"/>
        <v>5935.68</v>
      </c>
      <c r="D13" s="236">
        <f t="shared" si="2"/>
        <v>3528.4605418811229</v>
      </c>
      <c r="E13" s="236">
        <f t="shared" si="3"/>
        <v>2407.2194581188774</v>
      </c>
      <c r="F13" s="236">
        <f t="shared" si="4"/>
        <v>259077.2985256328</v>
      </c>
      <c r="G13" s="236"/>
      <c r="H13" s="233">
        <f t="shared" si="5"/>
        <v>44804</v>
      </c>
    </row>
    <row r="14" spans="1:16" ht="15.75" customHeight="1" x14ac:dyDescent="0.3">
      <c r="A14" s="233">
        <f t="shared" si="0"/>
        <v>44834</v>
      </c>
      <c r="B14" s="234">
        <v>5</v>
      </c>
      <c r="C14" s="237">
        <f t="shared" si="1"/>
        <v>5935.68</v>
      </c>
      <c r="D14" s="236">
        <f t="shared" si="2"/>
        <v>3560.8047635150333</v>
      </c>
      <c r="E14" s="236">
        <f t="shared" si="3"/>
        <v>2374.875236484967</v>
      </c>
      <c r="F14" s="236">
        <f t="shared" si="4"/>
        <v>255516.49376211775</v>
      </c>
      <c r="G14" s="236"/>
      <c r="H14" s="233">
        <f t="shared" si="5"/>
        <v>44834</v>
      </c>
    </row>
    <row r="15" spans="1:16" x14ac:dyDescent="0.3">
      <c r="A15" s="233">
        <f t="shared" si="0"/>
        <v>44865</v>
      </c>
      <c r="B15" s="234">
        <v>6</v>
      </c>
      <c r="C15" s="237">
        <f t="shared" si="1"/>
        <v>5935.68</v>
      </c>
      <c r="D15" s="236">
        <f t="shared" si="2"/>
        <v>3593.4454738472546</v>
      </c>
      <c r="E15" s="236">
        <f t="shared" si="3"/>
        <v>2342.2345261527457</v>
      </c>
      <c r="F15" s="236">
        <f t="shared" si="4"/>
        <v>251923.04828827051</v>
      </c>
      <c r="G15" s="236"/>
      <c r="H15" s="233">
        <f t="shared" si="5"/>
        <v>44865</v>
      </c>
    </row>
    <row r="16" spans="1:16" x14ac:dyDescent="0.3">
      <c r="A16" s="233">
        <f t="shared" si="0"/>
        <v>44895</v>
      </c>
      <c r="B16" s="234">
        <v>7</v>
      </c>
      <c r="C16" s="237">
        <f t="shared" si="1"/>
        <v>5935.68</v>
      </c>
      <c r="D16" s="236">
        <f t="shared" si="2"/>
        <v>3626.3853906908539</v>
      </c>
      <c r="E16" s="236">
        <f t="shared" si="3"/>
        <v>2309.2946093091464</v>
      </c>
      <c r="F16" s="236">
        <f t="shared" si="4"/>
        <v>248296.66289757966</v>
      </c>
      <c r="G16" s="236"/>
      <c r="H16" s="233">
        <f t="shared" si="5"/>
        <v>44895</v>
      </c>
    </row>
    <row r="17" spans="1:11" x14ac:dyDescent="0.3">
      <c r="A17" s="233">
        <f t="shared" si="0"/>
        <v>44926</v>
      </c>
      <c r="B17" s="234">
        <v>8</v>
      </c>
      <c r="C17" s="237">
        <f t="shared" si="1"/>
        <v>5935.68</v>
      </c>
      <c r="D17" s="236">
        <f t="shared" si="2"/>
        <v>3659.6272567721867</v>
      </c>
      <c r="E17" s="236">
        <f t="shared" si="3"/>
        <v>2276.0527432278136</v>
      </c>
      <c r="F17" s="236">
        <f t="shared" si="4"/>
        <v>244637.03564080747</v>
      </c>
      <c r="G17" s="236"/>
      <c r="H17" s="233">
        <f t="shared" si="5"/>
        <v>44926</v>
      </c>
      <c r="K17" s="220">
        <f>C10/2</f>
        <v>2967.84</v>
      </c>
    </row>
    <row r="18" spans="1:11" x14ac:dyDescent="0.3">
      <c r="A18" s="233">
        <f t="shared" si="0"/>
        <v>44957</v>
      </c>
      <c r="B18" s="234">
        <v>9</v>
      </c>
      <c r="C18" s="237">
        <f t="shared" si="1"/>
        <v>5935.68</v>
      </c>
      <c r="D18" s="236">
        <f t="shared" si="2"/>
        <v>3693.1738399592655</v>
      </c>
      <c r="E18" s="236">
        <f t="shared" si="3"/>
        <v>2242.5061600407348</v>
      </c>
      <c r="F18" s="236">
        <f t="shared" si="4"/>
        <v>240943.86180084822</v>
      </c>
      <c r="G18" s="236"/>
      <c r="H18" s="233">
        <f t="shared" si="5"/>
        <v>44957</v>
      </c>
    </row>
    <row r="19" spans="1:11" x14ac:dyDescent="0.3">
      <c r="A19" s="233">
        <f t="shared" si="0"/>
        <v>44985</v>
      </c>
      <c r="B19" s="234">
        <v>10</v>
      </c>
      <c r="C19" s="237">
        <f t="shared" si="1"/>
        <v>5935.68</v>
      </c>
      <c r="D19" s="236">
        <f t="shared" si="2"/>
        <v>3727.0279334922247</v>
      </c>
      <c r="E19" s="236">
        <f t="shared" si="3"/>
        <v>2208.6520665077755</v>
      </c>
      <c r="F19" s="236">
        <f t="shared" si="4"/>
        <v>237216.83386735598</v>
      </c>
      <c r="G19" s="236"/>
      <c r="H19" s="233">
        <f t="shared" si="5"/>
        <v>44985</v>
      </c>
    </row>
    <row r="20" spans="1:11" x14ac:dyDescent="0.3">
      <c r="A20" s="233">
        <f t="shared" si="0"/>
        <v>45016</v>
      </c>
      <c r="B20" s="234">
        <v>11</v>
      </c>
      <c r="C20" s="237">
        <f t="shared" si="1"/>
        <v>5935.68</v>
      </c>
      <c r="D20" s="236">
        <f t="shared" si="2"/>
        <v>3761.1923562159041</v>
      </c>
      <c r="E20" s="236">
        <f t="shared" si="3"/>
        <v>2174.4876437840962</v>
      </c>
      <c r="F20" s="236">
        <f t="shared" si="4"/>
        <v>233455.64151114007</v>
      </c>
      <c r="G20" s="236"/>
      <c r="H20" s="233">
        <f t="shared" si="5"/>
        <v>45016</v>
      </c>
    </row>
    <row r="21" spans="1:11" x14ac:dyDescent="0.3">
      <c r="A21" s="233">
        <f t="shared" si="0"/>
        <v>45046</v>
      </c>
      <c r="B21" s="234">
        <v>12</v>
      </c>
      <c r="C21" s="237">
        <f t="shared" si="1"/>
        <v>5935.68</v>
      </c>
      <c r="D21" s="236">
        <f t="shared" si="2"/>
        <v>3795.66995281455</v>
      </c>
      <c r="E21" s="236">
        <f t="shared" si="3"/>
        <v>2140.0100471854503</v>
      </c>
      <c r="F21" s="236">
        <f t="shared" si="4"/>
        <v>229659.97155832552</v>
      </c>
      <c r="G21" s="236"/>
      <c r="H21" s="233">
        <f t="shared" si="5"/>
        <v>45046</v>
      </c>
    </row>
    <row r="22" spans="1:11" x14ac:dyDescent="0.3">
      <c r="A22" s="233">
        <f t="shared" si="0"/>
        <v>45077</v>
      </c>
      <c r="B22" s="234">
        <v>13</v>
      </c>
      <c r="C22" s="237">
        <f t="shared" si="1"/>
        <v>5935.68</v>
      </c>
      <c r="D22" s="236">
        <f t="shared" si="2"/>
        <v>3830.4635940486833</v>
      </c>
      <c r="E22" s="236">
        <f t="shared" si="3"/>
        <v>2105.216405951317</v>
      </c>
      <c r="F22" s="236">
        <f t="shared" si="4"/>
        <v>225829.50796427683</v>
      </c>
      <c r="G22" s="236"/>
      <c r="H22" s="233">
        <f t="shared" si="5"/>
        <v>45077</v>
      </c>
    </row>
    <row r="23" spans="1:11" x14ac:dyDescent="0.3">
      <c r="A23" s="233">
        <f t="shared" si="0"/>
        <v>45107</v>
      </c>
      <c r="B23" s="234">
        <v>14</v>
      </c>
      <c r="C23" s="237">
        <f t="shared" si="1"/>
        <v>5935.68</v>
      </c>
      <c r="D23" s="236">
        <f t="shared" si="2"/>
        <v>3865.5761769941296</v>
      </c>
      <c r="E23" s="236">
        <f t="shared" si="3"/>
        <v>2070.1038230058707</v>
      </c>
      <c r="F23" s="236">
        <f t="shared" si="4"/>
        <v>221963.93178728269</v>
      </c>
      <c r="G23" s="236"/>
      <c r="H23" s="233">
        <f t="shared" si="5"/>
        <v>45107</v>
      </c>
    </row>
    <row r="24" spans="1:11" x14ac:dyDescent="0.3">
      <c r="A24" s="233">
        <f t="shared" si="0"/>
        <v>45138</v>
      </c>
      <c r="B24" s="234">
        <v>15</v>
      </c>
      <c r="C24" s="237">
        <f t="shared" si="1"/>
        <v>5935.68</v>
      </c>
      <c r="D24" s="236">
        <f t="shared" si="2"/>
        <v>3901.010625283242</v>
      </c>
      <c r="E24" s="236">
        <f t="shared" si="3"/>
        <v>2034.6693747167581</v>
      </c>
      <c r="F24" s="236">
        <f t="shared" si="4"/>
        <v>218062.92116199946</v>
      </c>
      <c r="G24" s="236"/>
      <c r="H24" s="233">
        <f t="shared" si="5"/>
        <v>45138</v>
      </c>
    </row>
    <row r="25" spans="1:11" x14ac:dyDescent="0.3">
      <c r="A25" s="233">
        <f t="shared" si="0"/>
        <v>45169</v>
      </c>
      <c r="B25" s="234">
        <v>16</v>
      </c>
      <c r="C25" s="237">
        <f t="shared" si="1"/>
        <v>5935.68</v>
      </c>
      <c r="D25" s="236">
        <f t="shared" si="2"/>
        <v>3936.7698893483389</v>
      </c>
      <c r="E25" s="236">
        <f t="shared" si="3"/>
        <v>1998.9101106516614</v>
      </c>
      <c r="F25" s="236">
        <f t="shared" si="4"/>
        <v>214126.15127265113</v>
      </c>
      <c r="G25" s="236"/>
      <c r="H25" s="233">
        <f t="shared" si="5"/>
        <v>45169</v>
      </c>
    </row>
    <row r="26" spans="1:11" x14ac:dyDescent="0.3">
      <c r="A26" s="233">
        <f t="shared" si="0"/>
        <v>45199</v>
      </c>
      <c r="B26" s="234">
        <v>17</v>
      </c>
      <c r="C26" s="237">
        <f t="shared" si="1"/>
        <v>5935.68</v>
      </c>
      <c r="D26" s="236">
        <f t="shared" si="2"/>
        <v>3972.8569466673653</v>
      </c>
      <c r="E26" s="236">
        <f t="shared" si="3"/>
        <v>1962.8230533326353</v>
      </c>
      <c r="F26" s="236">
        <f t="shared" si="4"/>
        <v>210153.29432598376</v>
      </c>
      <c r="G26" s="236"/>
      <c r="H26" s="233">
        <f t="shared" si="5"/>
        <v>45199</v>
      </c>
    </row>
    <row r="27" spans="1:11" x14ac:dyDescent="0.3">
      <c r="A27" s="233">
        <f t="shared" si="0"/>
        <v>45230</v>
      </c>
      <c r="B27" s="234">
        <v>18</v>
      </c>
      <c r="C27" s="237">
        <f t="shared" si="1"/>
        <v>5935.68</v>
      </c>
      <c r="D27" s="236">
        <f t="shared" si="2"/>
        <v>4009.2748020118161</v>
      </c>
      <c r="E27" s="236">
        <f t="shared" si="3"/>
        <v>1926.4051979881842</v>
      </c>
      <c r="F27" s="236">
        <f t="shared" si="4"/>
        <v>206144.01952397195</v>
      </c>
      <c r="G27" s="236"/>
      <c r="H27" s="233">
        <f t="shared" si="5"/>
        <v>45230</v>
      </c>
    </row>
    <row r="28" spans="1:11" x14ac:dyDescent="0.3">
      <c r="A28" s="233">
        <f t="shared" si="0"/>
        <v>45260</v>
      </c>
      <c r="B28" s="234">
        <v>19</v>
      </c>
      <c r="C28" s="237">
        <f t="shared" si="1"/>
        <v>5935.68</v>
      </c>
      <c r="D28" s="236">
        <f t="shared" si="2"/>
        <v>4046.0264876969241</v>
      </c>
      <c r="E28" s="236">
        <f t="shared" si="3"/>
        <v>1889.653512303076</v>
      </c>
      <c r="F28" s="236">
        <f t="shared" si="4"/>
        <v>202097.99303627503</v>
      </c>
      <c r="G28" s="236"/>
      <c r="H28" s="233">
        <f t="shared" si="5"/>
        <v>45260</v>
      </c>
    </row>
    <row r="29" spans="1:11" x14ac:dyDescent="0.3">
      <c r="A29" s="233">
        <f t="shared" si="0"/>
        <v>45291</v>
      </c>
      <c r="B29" s="234">
        <v>20</v>
      </c>
      <c r="C29" s="237">
        <f t="shared" si="1"/>
        <v>5935.68</v>
      </c>
      <c r="D29" s="236">
        <f t="shared" si="2"/>
        <v>4083.115063834146</v>
      </c>
      <c r="E29" s="236">
        <f t="shared" si="3"/>
        <v>1852.5649361658545</v>
      </c>
      <c r="F29" s="236">
        <f t="shared" si="4"/>
        <v>198014.87797244088</v>
      </c>
      <c r="G29" s="236"/>
      <c r="H29" s="233">
        <f t="shared" si="5"/>
        <v>45291</v>
      </c>
    </row>
    <row r="30" spans="1:11" x14ac:dyDescent="0.3">
      <c r="A30" s="233">
        <f t="shared" si="0"/>
        <v>45322</v>
      </c>
      <c r="B30" s="234">
        <v>21</v>
      </c>
      <c r="C30" s="237">
        <f t="shared" si="1"/>
        <v>5935.68</v>
      </c>
      <c r="D30" s="236">
        <f t="shared" si="2"/>
        <v>4120.5436185859589</v>
      </c>
      <c r="E30" s="236">
        <f t="shared" si="3"/>
        <v>1815.1363814140414</v>
      </c>
      <c r="F30" s="236">
        <f t="shared" si="4"/>
        <v>193894.33435385491</v>
      </c>
      <c r="G30" s="236"/>
      <c r="H30" s="233">
        <f t="shared" si="5"/>
        <v>45322</v>
      </c>
    </row>
    <row r="31" spans="1:11" x14ac:dyDescent="0.3">
      <c r="A31" s="233">
        <f t="shared" si="0"/>
        <v>45351</v>
      </c>
      <c r="B31" s="234">
        <v>22</v>
      </c>
      <c r="C31" s="237">
        <f t="shared" si="1"/>
        <v>5935.68</v>
      </c>
      <c r="D31" s="236">
        <f t="shared" si="2"/>
        <v>4158.3152684229972</v>
      </c>
      <c r="E31" s="236">
        <f t="shared" si="3"/>
        <v>1777.3647315770033</v>
      </c>
      <c r="F31" s="236">
        <f t="shared" si="4"/>
        <v>189736.01908543191</v>
      </c>
      <c r="G31" s="236"/>
      <c r="H31" s="233">
        <f t="shared" si="5"/>
        <v>45351</v>
      </c>
    </row>
    <row r="32" spans="1:11" x14ac:dyDescent="0.3">
      <c r="A32" s="233">
        <f t="shared" si="0"/>
        <v>45382</v>
      </c>
      <c r="B32" s="234">
        <v>23</v>
      </c>
      <c r="C32" s="237">
        <f t="shared" si="1"/>
        <v>5935.68</v>
      </c>
      <c r="D32" s="236">
        <f t="shared" si="2"/>
        <v>4196.433158383541</v>
      </c>
      <c r="E32" s="236">
        <f t="shared" si="3"/>
        <v>1739.2468416164591</v>
      </c>
      <c r="F32" s="236">
        <f t="shared" si="4"/>
        <v>185539.58592704838</v>
      </c>
      <c r="G32" s="236"/>
      <c r="H32" s="233">
        <f t="shared" si="5"/>
        <v>45382</v>
      </c>
    </row>
    <row r="33" spans="1:14" x14ac:dyDescent="0.3">
      <c r="A33" s="233">
        <f t="shared" si="0"/>
        <v>45412</v>
      </c>
      <c r="B33" s="234">
        <v>24</v>
      </c>
      <c r="C33" s="237">
        <f t="shared" si="1"/>
        <v>5935.68</v>
      </c>
      <c r="D33" s="236">
        <f t="shared" si="2"/>
        <v>4234.9004623353903</v>
      </c>
      <c r="E33" s="236">
        <f t="shared" si="3"/>
        <v>1700.77953766461</v>
      </c>
      <c r="F33" s="236">
        <f t="shared" si="4"/>
        <v>181304.68546471299</v>
      </c>
      <c r="G33" s="236"/>
      <c r="H33" s="233">
        <f t="shared" si="5"/>
        <v>45412</v>
      </c>
    </row>
    <row r="34" spans="1:14" x14ac:dyDescent="0.3">
      <c r="A34" s="233">
        <f t="shared" si="0"/>
        <v>45443</v>
      </c>
      <c r="B34" s="234">
        <v>25</v>
      </c>
      <c r="C34" s="237">
        <f t="shared" si="1"/>
        <v>5935.68</v>
      </c>
      <c r="D34" s="236">
        <f t="shared" si="2"/>
        <v>4273.720383240131</v>
      </c>
      <c r="E34" s="236">
        <f t="shared" si="3"/>
        <v>1661.959616759869</v>
      </c>
      <c r="F34" s="236">
        <f t="shared" si="4"/>
        <v>177030.96508147285</v>
      </c>
      <c r="G34" s="236"/>
      <c r="H34" s="233">
        <f t="shared" si="5"/>
        <v>45443</v>
      </c>
    </row>
    <row r="35" spans="1:14" x14ac:dyDescent="0.3">
      <c r="A35" s="233">
        <f t="shared" si="0"/>
        <v>45473</v>
      </c>
      <c r="B35" s="234">
        <v>26</v>
      </c>
      <c r="C35" s="237">
        <f t="shared" si="1"/>
        <v>5935.68</v>
      </c>
      <c r="D35" s="236">
        <f t="shared" si="2"/>
        <v>4312.8961534198324</v>
      </c>
      <c r="E35" s="236">
        <f t="shared" si="3"/>
        <v>1622.7838465801678</v>
      </c>
      <c r="F35" s="236">
        <f t="shared" si="4"/>
        <v>172718.06892805302</v>
      </c>
      <c r="G35" s="236"/>
      <c r="H35" s="233">
        <f t="shared" si="5"/>
        <v>45473</v>
      </c>
    </row>
    <row r="36" spans="1:14" x14ac:dyDescent="0.3">
      <c r="A36" s="233">
        <f t="shared" si="0"/>
        <v>45504</v>
      </c>
      <c r="B36" s="234">
        <v>27</v>
      </c>
      <c r="C36" s="237">
        <f t="shared" si="1"/>
        <v>5935.68</v>
      </c>
      <c r="D36" s="236">
        <f t="shared" si="2"/>
        <v>4352.4310348261806</v>
      </c>
      <c r="E36" s="236">
        <f t="shared" si="3"/>
        <v>1583.2489651738192</v>
      </c>
      <c r="F36" s="236">
        <f t="shared" si="4"/>
        <v>168365.63789322684</v>
      </c>
      <c r="G36" s="236"/>
      <c r="H36" s="233">
        <f t="shared" si="5"/>
        <v>45504</v>
      </c>
    </row>
    <row r="37" spans="1:14" x14ac:dyDescent="0.3">
      <c r="A37" s="233">
        <f t="shared" si="0"/>
        <v>45535</v>
      </c>
      <c r="B37" s="234">
        <v>28</v>
      </c>
      <c r="C37" s="237">
        <f t="shared" si="1"/>
        <v>5935.68</v>
      </c>
      <c r="D37" s="236">
        <f t="shared" si="2"/>
        <v>4392.3283193120878</v>
      </c>
      <c r="E37" s="236">
        <f t="shared" si="3"/>
        <v>1543.3516806879127</v>
      </c>
      <c r="F37" s="236">
        <f t="shared" si="4"/>
        <v>163973.30957391474</v>
      </c>
      <c r="G37" s="236"/>
      <c r="H37" s="233">
        <f t="shared" si="5"/>
        <v>45535</v>
      </c>
    </row>
    <row r="38" spans="1:14" x14ac:dyDescent="0.3">
      <c r="A38" s="233">
        <f t="shared" si="0"/>
        <v>45565</v>
      </c>
      <c r="B38" s="234">
        <v>29</v>
      </c>
      <c r="C38" s="237">
        <f t="shared" si="1"/>
        <v>5935.68</v>
      </c>
      <c r="D38" s="236">
        <f t="shared" si="2"/>
        <v>4432.5913289057817</v>
      </c>
      <c r="E38" s="236">
        <f t="shared" si="3"/>
        <v>1503.0886710942184</v>
      </c>
      <c r="F38" s="236">
        <f t="shared" si="4"/>
        <v>159540.71824500896</v>
      </c>
      <c r="G38" s="236"/>
      <c r="H38" s="233">
        <f t="shared" si="5"/>
        <v>45565</v>
      </c>
    </row>
    <row r="39" spans="1:14" x14ac:dyDescent="0.3">
      <c r="A39" s="233">
        <f t="shared" si="0"/>
        <v>45596</v>
      </c>
      <c r="B39" s="234">
        <v>30</v>
      </c>
      <c r="C39" s="237">
        <f>5985.68</f>
        <v>5985.68</v>
      </c>
      <c r="D39" s="236">
        <f t="shared" si="2"/>
        <v>4523.2234160874177</v>
      </c>
      <c r="E39" s="236">
        <f t="shared" si="3"/>
        <v>1462.4565839125821</v>
      </c>
      <c r="F39" s="236">
        <f t="shared" si="4"/>
        <v>155017.49482892154</v>
      </c>
      <c r="G39" s="236"/>
      <c r="H39" s="233">
        <f t="shared" si="5"/>
        <v>45596</v>
      </c>
    </row>
    <row r="40" spans="1:14" x14ac:dyDescent="0.3">
      <c r="A40" s="233">
        <f t="shared" si="0"/>
        <v>45626</v>
      </c>
      <c r="B40" s="234">
        <v>31</v>
      </c>
      <c r="C40" s="237">
        <f t="shared" si="1"/>
        <v>5935.68</v>
      </c>
      <c r="D40" s="236">
        <f t="shared" si="2"/>
        <v>4514.686297401553</v>
      </c>
      <c r="E40" s="236">
        <f t="shared" si="3"/>
        <v>1420.9937025984473</v>
      </c>
      <c r="F40" s="236">
        <f t="shared" si="4"/>
        <v>150502.80853151999</v>
      </c>
      <c r="G40" s="236"/>
      <c r="H40" s="233">
        <f t="shared" si="5"/>
        <v>45626</v>
      </c>
    </row>
    <row r="41" spans="1:14" x14ac:dyDescent="0.3">
      <c r="A41" s="233">
        <f t="shared" si="0"/>
        <v>45657</v>
      </c>
      <c r="B41" s="234">
        <v>32</v>
      </c>
      <c r="C41" s="237">
        <f t="shared" si="1"/>
        <v>5935.68</v>
      </c>
      <c r="D41" s="236">
        <f t="shared" si="2"/>
        <v>4556.0709217944004</v>
      </c>
      <c r="E41" s="236">
        <f t="shared" si="3"/>
        <v>1379.6090782055999</v>
      </c>
      <c r="F41" s="236">
        <f t="shared" si="4"/>
        <v>145946.73760972559</v>
      </c>
      <c r="G41" s="236"/>
      <c r="H41" s="233">
        <f t="shared" si="5"/>
        <v>45657</v>
      </c>
    </row>
    <row r="42" spans="1:14" x14ac:dyDescent="0.3">
      <c r="A42" s="233">
        <f t="shared" si="0"/>
        <v>45688</v>
      </c>
      <c r="B42" s="234">
        <v>33</v>
      </c>
      <c r="C42" s="237">
        <f t="shared" si="1"/>
        <v>5935.68</v>
      </c>
      <c r="D42" s="236">
        <f t="shared" si="2"/>
        <v>4597.8349052441827</v>
      </c>
      <c r="E42" s="236">
        <f t="shared" si="3"/>
        <v>1337.8450947558179</v>
      </c>
      <c r="F42" s="236">
        <f t="shared" si="4"/>
        <v>141348.90270448141</v>
      </c>
      <c r="G42" s="236"/>
      <c r="H42" s="233">
        <f t="shared" si="5"/>
        <v>45688</v>
      </c>
      <c r="I42" s="226">
        <f>D43-D42</f>
        <v>42.146819964737915</v>
      </c>
    </row>
    <row r="43" spans="1:14" x14ac:dyDescent="0.3">
      <c r="A43" s="233">
        <f t="shared" si="0"/>
        <v>45716</v>
      </c>
      <c r="B43" s="234">
        <v>34</v>
      </c>
      <c r="C43" s="237">
        <f t="shared" si="1"/>
        <v>5935.68</v>
      </c>
      <c r="D43" s="236">
        <f t="shared" si="2"/>
        <v>4639.9817252089206</v>
      </c>
      <c r="E43" s="236">
        <f t="shared" si="3"/>
        <v>1295.6982747910795</v>
      </c>
      <c r="F43" s="236">
        <f t="shared" si="4"/>
        <v>136708.92097927249</v>
      </c>
      <c r="G43" s="236"/>
      <c r="H43" s="233">
        <f t="shared" si="5"/>
        <v>45716</v>
      </c>
    </row>
    <row r="44" spans="1:14" x14ac:dyDescent="0.3">
      <c r="A44" s="233">
        <f t="shared" si="0"/>
        <v>45747</v>
      </c>
      <c r="B44" s="234">
        <v>35</v>
      </c>
      <c r="C44" s="237">
        <f t="shared" si="1"/>
        <v>5935.68</v>
      </c>
      <c r="D44" s="236">
        <f t="shared" si="2"/>
        <v>4682.5148910233356</v>
      </c>
      <c r="E44" s="236">
        <f t="shared" si="3"/>
        <v>1253.1651089766644</v>
      </c>
      <c r="F44" s="236">
        <f t="shared" si="4"/>
        <v>132026.40608824915</v>
      </c>
      <c r="G44" s="236"/>
      <c r="H44" s="233">
        <f t="shared" si="5"/>
        <v>45747</v>
      </c>
      <c r="I44" s="226">
        <f>D44-D42</f>
        <v>84.679985779152958</v>
      </c>
      <c r="J44" s="226"/>
      <c r="K44" s="218" t="s">
        <v>370</v>
      </c>
      <c r="M44" s="353">
        <v>67084.94</v>
      </c>
    </row>
    <row r="45" spans="1:14" x14ac:dyDescent="0.3">
      <c r="A45" s="233">
        <f t="shared" si="0"/>
        <v>45777</v>
      </c>
      <c r="B45" s="234">
        <v>36</v>
      </c>
      <c r="C45" s="237">
        <f>67084.94+64941.47</f>
        <v>132026.41</v>
      </c>
      <c r="D45" s="236">
        <f t="shared" si="2"/>
        <v>132026.41</v>
      </c>
      <c r="E45" s="236">
        <v>0</v>
      </c>
      <c r="F45" s="236">
        <f t="shared" si="4"/>
        <v>-3.9117508567869663E-3</v>
      </c>
      <c r="G45" s="236"/>
      <c r="H45" s="233">
        <f t="shared" si="5"/>
        <v>45777</v>
      </c>
      <c r="I45" s="356" t="s">
        <v>384</v>
      </c>
      <c r="K45" s="218" t="s">
        <v>371</v>
      </c>
      <c r="M45" s="353">
        <v>47791.03</v>
      </c>
    </row>
    <row r="46" spans="1:14" x14ac:dyDescent="0.3">
      <c r="A46" s="238">
        <f t="shared" si="0"/>
        <v>45808</v>
      </c>
      <c r="B46" s="228">
        <v>37</v>
      </c>
      <c r="C46" s="239"/>
      <c r="D46" s="226">
        <f t="shared" si="2"/>
        <v>3.5857716187213856E-5</v>
      </c>
      <c r="E46" s="226">
        <f t="shared" si="3"/>
        <v>-3.5857716187213856E-5</v>
      </c>
      <c r="F46" s="226">
        <f t="shared" si="4"/>
        <v>-3.9476085729741803E-3</v>
      </c>
      <c r="G46" s="226"/>
      <c r="H46" s="238">
        <f t="shared" si="5"/>
        <v>45808</v>
      </c>
      <c r="K46" s="218" t="s">
        <v>372</v>
      </c>
      <c r="M46" s="354">
        <v>231392.67</v>
      </c>
    </row>
    <row r="47" spans="1:14" x14ac:dyDescent="0.3">
      <c r="A47" s="238">
        <f t="shared" si="0"/>
        <v>45838</v>
      </c>
      <c r="B47" s="228">
        <v>38</v>
      </c>
      <c r="C47" s="239"/>
      <c r="D47" s="226">
        <f t="shared" si="2"/>
        <v>3.6186411918929984E-5</v>
      </c>
      <c r="E47" s="226">
        <f t="shared" si="3"/>
        <v>-3.6186411918929984E-5</v>
      </c>
      <c r="F47" s="226">
        <f t="shared" si="4"/>
        <v>-3.9837949848931103E-3</v>
      </c>
      <c r="G47" s="226"/>
      <c r="H47" s="238">
        <f t="shared" si="5"/>
        <v>45838</v>
      </c>
      <c r="K47" s="218" t="s">
        <v>373</v>
      </c>
      <c r="M47" s="353">
        <f>SUM(M44:M46)</f>
        <v>346268.64</v>
      </c>
      <c r="N47" s="356" t="s">
        <v>378</v>
      </c>
    </row>
    <row r="48" spans="1:14" x14ac:dyDescent="0.3">
      <c r="A48" s="238">
        <f t="shared" si="0"/>
        <v>45869</v>
      </c>
      <c r="B48" s="228">
        <v>39</v>
      </c>
      <c r="C48" s="239"/>
      <c r="D48" s="226">
        <f t="shared" si="2"/>
        <v>3.651812069485351E-5</v>
      </c>
      <c r="E48" s="226">
        <f t="shared" si="3"/>
        <v>-3.651812069485351E-5</v>
      </c>
      <c r="F48" s="226">
        <f t="shared" si="4"/>
        <v>-4.0203131055879639E-3</v>
      </c>
      <c r="G48" s="226"/>
      <c r="H48" s="238">
        <f t="shared" si="5"/>
        <v>45869</v>
      </c>
      <c r="K48" s="218" t="s">
        <v>374</v>
      </c>
      <c r="M48" s="226">
        <f>F44</f>
        <v>132026.40608824915</v>
      </c>
      <c r="N48" s="226"/>
    </row>
    <row r="49" spans="1:15" x14ac:dyDescent="0.3">
      <c r="A49" s="238">
        <f t="shared" si="0"/>
        <v>45900</v>
      </c>
      <c r="B49" s="228">
        <v>40</v>
      </c>
      <c r="C49" s="239"/>
      <c r="D49" s="226">
        <f t="shared" si="2"/>
        <v>3.6852870134556332E-5</v>
      </c>
      <c r="E49" s="226">
        <f t="shared" si="3"/>
        <v>-3.6852870134556332E-5</v>
      </c>
      <c r="F49" s="226">
        <f t="shared" si="4"/>
        <v>-4.0571659757225199E-3</v>
      </c>
      <c r="G49" s="226"/>
      <c r="H49" s="238">
        <f t="shared" si="5"/>
        <v>45900</v>
      </c>
      <c r="K49" s="218" t="s">
        <v>375</v>
      </c>
      <c r="M49" s="226">
        <f>'22050 &amp; 23050 - Beneteau'!F44</f>
        <v>114758.19894225363</v>
      </c>
      <c r="N49" s="226"/>
    </row>
    <row r="50" spans="1:15" x14ac:dyDescent="0.3">
      <c r="A50" s="238">
        <f t="shared" si="0"/>
        <v>45930</v>
      </c>
      <c r="B50" s="228">
        <v>41</v>
      </c>
      <c r="C50" s="239"/>
      <c r="D50" s="226">
        <f t="shared" si="2"/>
        <v>3.7190688110789765E-5</v>
      </c>
      <c r="E50" s="226">
        <f t="shared" si="3"/>
        <v>-3.7190688110789765E-5</v>
      </c>
      <c r="F50" s="226">
        <f t="shared" si="4"/>
        <v>-4.0943566638333099E-3</v>
      </c>
      <c r="G50" s="226"/>
      <c r="H50" s="238">
        <f t="shared" si="5"/>
        <v>45930</v>
      </c>
      <c r="K50" s="218" t="s">
        <v>376</v>
      </c>
      <c r="M50" s="226">
        <f>'22300 &amp; 23300 - Axopar T-TOP28'!G28</f>
        <v>93839.34961301685</v>
      </c>
      <c r="N50" s="226"/>
      <c r="O50" s="226"/>
    </row>
    <row r="51" spans="1:15" ht="15" thickBot="1" x14ac:dyDescent="0.35">
      <c r="A51" s="238">
        <f t="shared" si="0"/>
        <v>45961</v>
      </c>
      <c r="B51" s="228">
        <v>42</v>
      </c>
      <c r="C51" s="239"/>
      <c r="D51" s="226">
        <f t="shared" si="2"/>
        <v>3.753160275180534E-5</v>
      </c>
      <c r="E51" s="226">
        <f t="shared" si="3"/>
        <v>-3.753160275180534E-5</v>
      </c>
      <c r="F51" s="226">
        <f t="shared" si="4"/>
        <v>-4.1318882665851153E-3</v>
      </c>
      <c r="G51" s="226"/>
      <c r="H51" s="238">
        <f t="shared" si="5"/>
        <v>45961</v>
      </c>
      <c r="K51" s="218" t="s">
        <v>377</v>
      </c>
      <c r="M51" s="355">
        <f>M47-SUM(M48:M50)</f>
        <v>5644.6853564804187</v>
      </c>
      <c r="N51" s="356" t="s">
        <v>379</v>
      </c>
    </row>
    <row r="52" spans="1:15" x14ac:dyDescent="0.3">
      <c r="A52" s="238">
        <f t="shared" si="0"/>
        <v>45991</v>
      </c>
      <c r="B52" s="228">
        <v>43</v>
      </c>
      <c r="C52" s="239"/>
      <c r="D52" s="226">
        <f t="shared" si="2"/>
        <v>3.7875642443696886E-5</v>
      </c>
      <c r="E52" s="226">
        <f t="shared" si="3"/>
        <v>-3.7875642443696886E-5</v>
      </c>
      <c r="F52" s="226">
        <f t="shared" si="4"/>
        <v>-4.1697639090288122E-3</v>
      </c>
      <c r="G52" s="226"/>
      <c r="H52" s="238">
        <f t="shared" si="5"/>
        <v>45991</v>
      </c>
    </row>
    <row r="53" spans="1:15" x14ac:dyDescent="0.3">
      <c r="A53" s="238">
        <f t="shared" si="0"/>
        <v>46022</v>
      </c>
      <c r="B53" s="228">
        <v>44</v>
      </c>
      <c r="C53" s="239"/>
      <c r="D53" s="226">
        <f t="shared" si="2"/>
        <v>3.8222835832764113E-5</v>
      </c>
      <c r="E53" s="226">
        <f t="shared" si="3"/>
        <v>-3.8222835832764113E-5</v>
      </c>
      <c r="F53" s="226">
        <f t="shared" si="4"/>
        <v>-4.2079867448615764E-3</v>
      </c>
      <c r="G53" s="226"/>
      <c r="H53" s="238">
        <f t="shared" si="5"/>
        <v>46022</v>
      </c>
    </row>
    <row r="54" spans="1:15" x14ac:dyDescent="0.3">
      <c r="A54" s="238">
        <f t="shared" si="0"/>
        <v>46053</v>
      </c>
      <c r="B54" s="228">
        <v>45</v>
      </c>
      <c r="C54" s="239"/>
      <c r="D54" s="226">
        <f t="shared" si="2"/>
        <v>3.8573211827897784E-5</v>
      </c>
      <c r="E54" s="226">
        <f t="shared" si="3"/>
        <v>-3.8573211827897784E-5</v>
      </c>
      <c r="F54" s="226">
        <f t="shared" si="4"/>
        <v>-4.2465599566894746E-3</v>
      </c>
      <c r="G54" s="226"/>
      <c r="H54" s="238">
        <f t="shared" si="5"/>
        <v>46053</v>
      </c>
    </row>
    <row r="55" spans="1:15" x14ac:dyDescent="0.3">
      <c r="A55" s="238">
        <f t="shared" si="0"/>
        <v>46081</v>
      </c>
      <c r="B55" s="228">
        <v>46</v>
      </c>
      <c r="C55" s="239"/>
      <c r="D55" s="226">
        <f t="shared" si="2"/>
        <v>3.892679960298685E-5</v>
      </c>
      <c r="E55" s="226">
        <f t="shared" si="3"/>
        <v>-3.892679960298685E-5</v>
      </c>
      <c r="F55" s="226">
        <f t="shared" si="4"/>
        <v>-4.2854867562924616E-3</v>
      </c>
      <c r="G55" s="226"/>
      <c r="H55" s="238">
        <f t="shared" si="5"/>
        <v>46081</v>
      </c>
    </row>
    <row r="56" spans="1:15" x14ac:dyDescent="0.3">
      <c r="A56" s="238">
        <f t="shared" si="0"/>
        <v>46112</v>
      </c>
      <c r="B56" s="228">
        <v>47</v>
      </c>
      <c r="C56" s="239"/>
      <c r="D56" s="226">
        <f t="shared" si="2"/>
        <v>3.9283628599347565E-5</v>
      </c>
      <c r="E56" s="226">
        <f t="shared" si="3"/>
        <v>-3.9283628599347565E-5</v>
      </c>
      <c r="F56" s="226">
        <f t="shared" si="4"/>
        <v>-4.3247703848918089E-3</v>
      </c>
      <c r="G56" s="226"/>
      <c r="H56" s="238">
        <f t="shared" si="5"/>
        <v>46112</v>
      </c>
    </row>
    <row r="57" spans="1:15" x14ac:dyDescent="0.3">
      <c r="A57" s="238">
        <f t="shared" si="0"/>
        <v>46142</v>
      </c>
      <c r="B57" s="228">
        <v>48</v>
      </c>
      <c r="C57" s="239"/>
      <c r="D57" s="226">
        <f t="shared" si="2"/>
        <v>3.9643728528174914E-5</v>
      </c>
      <c r="E57" s="226">
        <f t="shared" si="3"/>
        <v>-3.9643728528174914E-5</v>
      </c>
      <c r="F57" s="226">
        <f t="shared" si="4"/>
        <v>-4.364414113419984E-3</v>
      </c>
      <c r="G57" s="226"/>
      <c r="H57" s="238">
        <f t="shared" si="5"/>
        <v>46142</v>
      </c>
    </row>
    <row r="58" spans="1:15" x14ac:dyDescent="0.3">
      <c r="A58" s="238">
        <f t="shared" si="0"/>
        <v>46173</v>
      </c>
      <c r="B58" s="228">
        <v>49</v>
      </c>
      <c r="C58" s="239"/>
      <c r="D58" s="226">
        <f t="shared" si="2"/>
        <v>4.0007129373016516E-5</v>
      </c>
      <c r="E58" s="226">
        <f t="shared" si="3"/>
        <v>-4.0007129373016516E-5</v>
      </c>
      <c r="F58" s="226">
        <f t="shared" si="4"/>
        <v>-4.4044212427930005E-3</v>
      </c>
      <c r="G58" s="226"/>
      <c r="H58" s="238">
        <f t="shared" si="5"/>
        <v>46173</v>
      </c>
    </row>
    <row r="59" spans="1:15" x14ac:dyDescent="0.3">
      <c r="A59" s="238">
        <f t="shared" si="0"/>
        <v>46203</v>
      </c>
      <c r="B59" s="228">
        <v>50</v>
      </c>
      <c r="C59" s="239"/>
      <c r="D59" s="226">
        <f t="shared" si="2"/>
        <v>4.0373861392269174E-5</v>
      </c>
      <c r="E59" s="226">
        <f t="shared" si="3"/>
        <v>-4.0373861392269174E-5</v>
      </c>
      <c r="F59" s="226">
        <f t="shared" si="4"/>
        <v>-4.4447951041852694E-3</v>
      </c>
      <c r="G59" s="226"/>
      <c r="H59" s="238">
        <f t="shared" si="5"/>
        <v>46203</v>
      </c>
    </row>
    <row r="60" spans="1:15" x14ac:dyDescent="0.3">
      <c r="A60" s="238">
        <f t="shared" si="0"/>
        <v>46234</v>
      </c>
      <c r="B60" s="228">
        <v>51</v>
      </c>
      <c r="C60" s="239"/>
      <c r="D60" s="226">
        <f t="shared" si="2"/>
        <v>4.0743955121698304E-5</v>
      </c>
      <c r="E60" s="226">
        <f t="shared" si="3"/>
        <v>-4.0743955121698304E-5</v>
      </c>
      <c r="F60" s="226">
        <f t="shared" si="4"/>
        <v>-4.4855390593069675E-3</v>
      </c>
      <c r="G60" s="226"/>
      <c r="H60" s="238">
        <f t="shared" si="5"/>
        <v>46234</v>
      </c>
    </row>
    <row r="61" spans="1:15" x14ac:dyDescent="0.3">
      <c r="A61" s="238">
        <f t="shared" si="0"/>
        <v>46265</v>
      </c>
      <c r="B61" s="228">
        <v>52</v>
      </c>
      <c r="C61" s="239"/>
      <c r="D61" s="226">
        <f t="shared" si="2"/>
        <v>4.1117441376980537E-5</v>
      </c>
      <c r="E61" s="226">
        <f t="shared" si="3"/>
        <v>-4.1117441376980537E-5</v>
      </c>
      <c r="F61" s="226">
        <f t="shared" si="4"/>
        <v>-4.5266565006839479E-3</v>
      </c>
      <c r="G61" s="226"/>
      <c r="H61" s="238">
        <f t="shared" si="5"/>
        <v>46265</v>
      </c>
    </row>
    <row r="62" spans="1:15" x14ac:dyDescent="0.3">
      <c r="A62" s="238">
        <f t="shared" si="0"/>
        <v>46295</v>
      </c>
      <c r="B62" s="228">
        <v>53</v>
      </c>
      <c r="C62" s="239"/>
      <c r="D62" s="226">
        <f t="shared" si="2"/>
        <v>4.149435125626952E-5</v>
      </c>
      <c r="E62" s="226">
        <f t="shared" si="3"/>
        <v>-4.149435125626952E-5</v>
      </c>
      <c r="F62" s="226">
        <f t="shared" si="4"/>
        <v>-4.5681508519402171E-3</v>
      </c>
      <c r="G62" s="226"/>
      <c r="H62" s="238">
        <f t="shared" si="5"/>
        <v>46295</v>
      </c>
    </row>
    <row r="63" spans="1:15" x14ac:dyDescent="0.3">
      <c r="A63" s="238">
        <f t="shared" si="0"/>
        <v>46326</v>
      </c>
      <c r="B63" s="228">
        <v>54</v>
      </c>
      <c r="C63" s="239"/>
      <c r="D63" s="226">
        <f t="shared" si="2"/>
        <v>4.1874716142785324E-5</v>
      </c>
      <c r="E63" s="226">
        <f t="shared" si="3"/>
        <v>-4.1874716142785324E-5</v>
      </c>
      <c r="F63" s="226">
        <f t="shared" si="4"/>
        <v>-4.6100255680830027E-3</v>
      </c>
      <c r="G63" s="226"/>
      <c r="H63" s="238">
        <f t="shared" si="5"/>
        <v>46326</v>
      </c>
    </row>
    <row r="64" spans="1:15" x14ac:dyDescent="0.3">
      <c r="A64" s="238">
        <f t="shared" si="0"/>
        <v>46356</v>
      </c>
      <c r="B64" s="228">
        <v>55</v>
      </c>
      <c r="C64" s="239"/>
      <c r="D64" s="226">
        <f t="shared" si="2"/>
        <v>4.2258567707427523E-5</v>
      </c>
      <c r="E64" s="226">
        <f t="shared" si="3"/>
        <v>-4.2258567707427523E-5</v>
      </c>
      <c r="F64" s="226">
        <f t="shared" si="4"/>
        <v>-4.6522841357904306E-3</v>
      </c>
      <c r="G64" s="226"/>
      <c r="H64" s="238">
        <f t="shared" si="5"/>
        <v>46356</v>
      </c>
    </row>
    <row r="65" spans="1:8" x14ac:dyDescent="0.3">
      <c r="A65" s="238">
        <f t="shared" si="0"/>
        <v>46387</v>
      </c>
      <c r="B65" s="228">
        <v>56</v>
      </c>
      <c r="C65" s="239"/>
      <c r="D65" s="226">
        <f t="shared" si="2"/>
        <v>4.2645937911412275E-5</v>
      </c>
      <c r="E65" s="226">
        <f t="shared" si="3"/>
        <v>-4.2645937911412275E-5</v>
      </c>
      <c r="F65" s="226">
        <f t="shared" si="4"/>
        <v>-4.6949300737018432E-3</v>
      </c>
      <c r="G65" s="226"/>
      <c r="H65" s="238">
        <f t="shared" si="5"/>
        <v>46387</v>
      </c>
    </row>
    <row r="66" spans="1:8" x14ac:dyDescent="0.3">
      <c r="A66" s="238">
        <f t="shared" si="0"/>
        <v>46418</v>
      </c>
      <c r="B66" s="228">
        <v>57</v>
      </c>
      <c r="C66" s="239"/>
      <c r="D66" s="226">
        <f t="shared" si="2"/>
        <v>4.3036859008933564E-5</v>
      </c>
      <c r="E66" s="226">
        <f t="shared" si="3"/>
        <v>-4.3036859008933564E-5</v>
      </c>
      <c r="F66" s="226">
        <f t="shared" si="4"/>
        <v>-4.7379669327107764E-3</v>
      </c>
      <c r="G66" s="226"/>
      <c r="H66" s="238">
        <f t="shared" si="5"/>
        <v>46418</v>
      </c>
    </row>
    <row r="67" spans="1:8" x14ac:dyDescent="0.3">
      <c r="A67" s="238">
        <f t="shared" si="0"/>
        <v>46446</v>
      </c>
      <c r="B67" s="228">
        <v>58</v>
      </c>
      <c r="C67" s="239"/>
      <c r="D67" s="226">
        <f t="shared" si="2"/>
        <v>4.3431363549848786E-5</v>
      </c>
      <c r="E67" s="226">
        <f t="shared" si="3"/>
        <v>-4.3431363549848786E-5</v>
      </c>
      <c r="F67" s="226">
        <f t="shared" si="4"/>
        <v>-4.7813982962606255E-3</v>
      </c>
      <c r="G67" s="226"/>
      <c r="H67" s="238">
        <f t="shared" si="5"/>
        <v>46446</v>
      </c>
    </row>
    <row r="68" spans="1:8" x14ac:dyDescent="0.3">
      <c r="A68" s="238">
        <f t="shared" si="0"/>
        <v>46477</v>
      </c>
      <c r="B68" s="228">
        <v>59</v>
      </c>
      <c r="C68" s="239"/>
      <c r="D68" s="226">
        <f t="shared" si="2"/>
        <v>4.3829484382389067E-5</v>
      </c>
      <c r="E68" s="226">
        <f t="shared" si="3"/>
        <v>-4.3829484382389067E-5</v>
      </c>
      <c r="F68" s="226">
        <f t="shared" si="4"/>
        <v>-4.8252277806430143E-3</v>
      </c>
      <c r="G68" s="226"/>
      <c r="H68" s="238">
        <f t="shared" si="5"/>
        <v>46477</v>
      </c>
    </row>
    <row r="69" spans="1:8" x14ac:dyDescent="0.3">
      <c r="A69" s="238">
        <f t="shared" si="0"/>
        <v>46507</v>
      </c>
      <c r="B69" s="228">
        <v>60</v>
      </c>
      <c r="C69" s="239"/>
      <c r="D69" s="226">
        <f t="shared" si="2"/>
        <v>4.4231254655894296E-5</v>
      </c>
      <c r="E69" s="226">
        <f t="shared" si="3"/>
        <v>-4.4231254655894296E-5</v>
      </c>
      <c r="F69" s="226">
        <f t="shared" si="4"/>
        <v>-4.8694590352989084E-3</v>
      </c>
      <c r="G69" s="226"/>
      <c r="H69" s="238">
        <f t="shared" si="5"/>
        <v>46507</v>
      </c>
    </row>
    <row r="70" spans="1:8" x14ac:dyDescent="0.3">
      <c r="A70" s="238"/>
      <c r="B70" s="228"/>
      <c r="C70" s="239"/>
      <c r="D70" s="226"/>
      <c r="E70" s="226"/>
      <c r="F70" s="226"/>
      <c r="G70" s="226"/>
    </row>
    <row r="71" spans="1:8" x14ac:dyDescent="0.3">
      <c r="A71" s="238"/>
      <c r="B71" s="228"/>
      <c r="C71" s="239"/>
      <c r="D71" s="226"/>
      <c r="E71" s="226"/>
      <c r="F71" s="226"/>
      <c r="G71" s="226"/>
    </row>
    <row r="72" spans="1:8" x14ac:dyDescent="0.3">
      <c r="A72" s="238"/>
      <c r="B72" s="228"/>
      <c r="C72" s="239"/>
      <c r="D72" s="226"/>
      <c r="E72" s="226"/>
      <c r="F72" s="226"/>
      <c r="G72" s="226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B2C8-8D92-42E9-9E1F-1B51664641A5}">
  <sheetPr>
    <tabColor theme="0" tint="-0.499984740745262"/>
  </sheetPr>
  <dimension ref="A1:P72"/>
  <sheetViews>
    <sheetView topLeftCell="A25" workbookViewId="0">
      <selection activeCell="R41" sqref="R41"/>
    </sheetView>
  </sheetViews>
  <sheetFormatPr defaultColWidth="8.88671875" defaultRowHeight="14.4" x14ac:dyDescent="0.3"/>
  <cols>
    <col min="1" max="1" width="12.44140625" style="218" bestFit="1" customWidth="1"/>
    <col min="2" max="2" width="14.109375" style="218" bestFit="1" customWidth="1"/>
    <col min="3" max="3" width="11.5546875" style="218" bestFit="1" customWidth="1"/>
    <col min="4" max="4" width="12.33203125" style="218" customWidth="1"/>
    <col min="5" max="5" width="9.5546875" style="218" bestFit="1" customWidth="1"/>
    <col min="6" max="6" width="11.5546875" style="218" bestFit="1" customWidth="1"/>
    <col min="7" max="7" width="16.6640625" style="218" bestFit="1" customWidth="1"/>
    <col min="8" max="8" width="10.6640625" style="218" bestFit="1" customWidth="1"/>
    <col min="9" max="9" width="8.88671875" style="218"/>
    <col min="10" max="10" width="12.5546875" style="218" bestFit="1" customWidth="1"/>
    <col min="11" max="11" width="10.6640625" style="218" bestFit="1" customWidth="1"/>
    <col min="12" max="12" width="8.88671875" style="218"/>
    <col min="13" max="13" width="17.44140625" style="218" bestFit="1" customWidth="1"/>
    <col min="14" max="14" width="11.88671875" style="218" bestFit="1" customWidth="1"/>
    <col min="15" max="16" width="10.5546875" style="218" bestFit="1" customWidth="1"/>
    <col min="17" max="16384" width="8.88671875" style="218"/>
  </cols>
  <sheetData>
    <row r="1" spans="1:16" x14ac:dyDescent="0.3">
      <c r="A1" s="217">
        <v>237000</v>
      </c>
      <c r="D1" s="219"/>
      <c r="E1" s="219"/>
      <c r="F1" s="219"/>
      <c r="G1" s="219"/>
    </row>
    <row r="2" spans="1:16" x14ac:dyDescent="0.3">
      <c r="A2" s="218">
        <v>60</v>
      </c>
      <c r="B2" s="218" t="s">
        <v>174</v>
      </c>
      <c r="C2" s="220">
        <v>5152.95</v>
      </c>
      <c r="D2" s="219"/>
      <c r="E2" s="219"/>
      <c r="F2" s="219"/>
      <c r="G2" s="219"/>
    </row>
    <row r="3" spans="1:16" x14ac:dyDescent="0.3">
      <c r="A3" s="221">
        <v>0.11</v>
      </c>
      <c r="B3" s="218" t="s">
        <v>175</v>
      </c>
      <c r="D3" s="219"/>
      <c r="E3" s="219"/>
      <c r="F3" s="219"/>
      <c r="G3" s="219"/>
    </row>
    <row r="4" spans="1:16" x14ac:dyDescent="0.3">
      <c r="A4" s="222">
        <f>A3/12</f>
        <v>9.1666666666666667E-3</v>
      </c>
      <c r="B4" s="218" t="s">
        <v>176</v>
      </c>
      <c r="D4" s="219"/>
      <c r="E4" s="219"/>
      <c r="F4" s="219"/>
      <c r="G4" s="219"/>
    </row>
    <row r="5" spans="1:16" x14ac:dyDescent="0.3">
      <c r="A5" s="223"/>
      <c r="B5" s="223"/>
      <c r="C5" s="219"/>
      <c r="D5" s="219"/>
      <c r="E5" s="219"/>
      <c r="F5" s="219"/>
      <c r="G5" s="219"/>
      <c r="J5" s="224" t="s">
        <v>177</v>
      </c>
      <c r="K5" s="272">
        <v>45777</v>
      </c>
      <c r="L5" s="222"/>
      <c r="M5" s="222" t="s">
        <v>178</v>
      </c>
      <c r="N5" s="225">
        <f>SUMIF(H:H,"&lt;="&amp;DATE(YEAR(K5),MONTH(K5)+12,DAY(K5)),D:D)-SUMIF(H:H,"&lt;"&amp;K5+1,D:D)</f>
        <v>1.2240116484463215E-4</v>
      </c>
      <c r="O5" s="226"/>
      <c r="P5" s="226">
        <f>N5-O5</f>
        <v>1.2240116484463215E-4</v>
      </c>
    </row>
    <row r="6" spans="1:16" x14ac:dyDescent="0.3">
      <c r="A6" s="223"/>
      <c r="B6" s="223"/>
      <c r="C6" s="219"/>
      <c r="D6" s="219"/>
      <c r="E6" s="219"/>
      <c r="F6" s="219"/>
      <c r="G6" s="219"/>
      <c r="J6" s="222"/>
      <c r="K6" s="222"/>
      <c r="L6" s="222"/>
      <c r="M6" s="222" t="s">
        <v>179</v>
      </c>
      <c r="N6" s="227">
        <f>INDEX(B:F,MATCH(K5,H:H,0),5)-N5</f>
        <v>-1.1801475338870659E-3</v>
      </c>
      <c r="P6" s="226">
        <f>N6-O6</f>
        <v>-1.1801475338870659E-3</v>
      </c>
    </row>
    <row r="7" spans="1:16" x14ac:dyDescent="0.3">
      <c r="A7" s="228"/>
      <c r="B7" s="228"/>
      <c r="C7" s="226"/>
      <c r="D7" s="226"/>
      <c r="E7" s="226"/>
      <c r="F7" s="226"/>
      <c r="G7" s="226"/>
      <c r="J7" s="222"/>
      <c r="K7" s="222"/>
      <c r="L7" s="222"/>
      <c r="M7" s="224" t="s">
        <v>7</v>
      </c>
      <c r="N7" s="229">
        <f>N6+N5</f>
        <v>-1.0577463690424338E-3</v>
      </c>
    </row>
    <row r="8" spans="1:16" x14ac:dyDescent="0.3">
      <c r="A8" s="228"/>
      <c r="B8" s="228"/>
      <c r="C8" s="230" t="s">
        <v>11</v>
      </c>
      <c r="D8" s="230" t="s">
        <v>38</v>
      </c>
      <c r="E8" s="230" t="s">
        <v>12</v>
      </c>
      <c r="F8" s="230" t="s">
        <v>180</v>
      </c>
      <c r="G8" s="230" t="s">
        <v>181</v>
      </c>
      <c r="H8" s="218" t="s">
        <v>8</v>
      </c>
      <c r="J8" s="222"/>
      <c r="K8" s="222"/>
      <c r="L8" s="222"/>
      <c r="M8" s="231" t="s">
        <v>37</v>
      </c>
      <c r="N8" s="232">
        <f>INDEX(B:F,MATCH(K5,H:H,0),5)-N7</f>
        <v>0</v>
      </c>
    </row>
    <row r="9" spans="1:16" x14ac:dyDescent="0.3">
      <c r="A9" s="233">
        <v>44652</v>
      </c>
      <c r="B9" s="234">
        <v>0</v>
      </c>
      <c r="C9" s="235"/>
      <c r="D9" s="236"/>
      <c r="E9" s="236"/>
      <c r="F9" s="236">
        <f>A1-C9</f>
        <v>237000</v>
      </c>
      <c r="G9" s="236"/>
      <c r="H9" s="233">
        <v>44652</v>
      </c>
    </row>
    <row r="10" spans="1:16" x14ac:dyDescent="0.3">
      <c r="A10" s="233">
        <v>44711</v>
      </c>
      <c r="B10" s="234">
        <v>1</v>
      </c>
      <c r="C10" s="237">
        <v>4911.22</v>
      </c>
      <c r="D10" s="236">
        <f>C10-E10</f>
        <v>2738.7200000000003</v>
      </c>
      <c r="E10" s="236">
        <f>(F9+G9)*(1/12)*$A$3</f>
        <v>2172.5</v>
      </c>
      <c r="F10" s="236">
        <f>F9-D10</f>
        <v>234261.28</v>
      </c>
      <c r="G10" s="236"/>
      <c r="H10" s="233">
        <v>44711</v>
      </c>
    </row>
    <row r="11" spans="1:16" x14ac:dyDescent="0.3">
      <c r="A11" s="233">
        <f t="shared" ref="A11:A70" si="0">EOMONTH(A10,1)</f>
        <v>44742</v>
      </c>
      <c r="B11" s="234">
        <v>2</v>
      </c>
      <c r="C11" s="237">
        <v>5144.8900000000003</v>
      </c>
      <c r="D11" s="236">
        <f t="shared" ref="D11:D70" si="1">C11-E11</f>
        <v>2997.4949333333338</v>
      </c>
      <c r="E11" s="236">
        <f t="shared" ref="E11:E70" si="2">(F10+G10)*(1/12)*$A$3</f>
        <v>2147.3950666666665</v>
      </c>
      <c r="F11" s="236">
        <f t="shared" ref="F11:F70" si="3">F10-D11</f>
        <v>231263.78506666666</v>
      </c>
      <c r="G11" s="236"/>
      <c r="H11" s="233">
        <f t="shared" ref="H11:H70" si="4">EOMONTH(H10,1)</f>
        <v>44742</v>
      </c>
    </row>
    <row r="12" spans="1:16" x14ac:dyDescent="0.3">
      <c r="A12" s="233">
        <f t="shared" si="0"/>
        <v>44773</v>
      </c>
      <c r="B12" s="234">
        <v>3</v>
      </c>
      <c r="C12" s="237">
        <f t="shared" ref="C12:C44" si="5">$C$2</f>
        <v>5152.95</v>
      </c>
      <c r="D12" s="236">
        <f t="shared" si="1"/>
        <v>3033.0319702222223</v>
      </c>
      <c r="E12" s="236">
        <f t="shared" si="2"/>
        <v>2119.9180297777775</v>
      </c>
      <c r="F12" s="236">
        <f t="shared" si="3"/>
        <v>228230.75309644444</v>
      </c>
      <c r="G12" s="236"/>
      <c r="H12" s="233">
        <f t="shared" si="4"/>
        <v>44773</v>
      </c>
    </row>
    <row r="13" spans="1:16" x14ac:dyDescent="0.3">
      <c r="A13" s="233">
        <f t="shared" si="0"/>
        <v>44804</v>
      </c>
      <c r="B13" s="234">
        <v>4</v>
      </c>
      <c r="C13" s="237">
        <f t="shared" si="5"/>
        <v>5152.95</v>
      </c>
      <c r="D13" s="236">
        <f t="shared" si="1"/>
        <v>3060.8347632825926</v>
      </c>
      <c r="E13" s="236">
        <f t="shared" si="2"/>
        <v>2092.1152367174072</v>
      </c>
      <c r="F13" s="236">
        <f t="shared" si="3"/>
        <v>225169.91833316186</v>
      </c>
      <c r="G13" s="236"/>
      <c r="H13" s="233">
        <f t="shared" si="4"/>
        <v>44804</v>
      </c>
    </row>
    <row r="14" spans="1:16" ht="15.75" customHeight="1" x14ac:dyDescent="0.3">
      <c r="A14" s="233">
        <f t="shared" si="0"/>
        <v>44834</v>
      </c>
      <c r="B14" s="234">
        <v>5</v>
      </c>
      <c r="C14" s="237">
        <f t="shared" si="5"/>
        <v>5152.95</v>
      </c>
      <c r="D14" s="236">
        <f t="shared" si="1"/>
        <v>3088.8924152793493</v>
      </c>
      <c r="E14" s="236">
        <f t="shared" si="2"/>
        <v>2064.0575847206505</v>
      </c>
      <c r="F14" s="236">
        <f t="shared" si="3"/>
        <v>222081.02591788251</v>
      </c>
      <c r="G14" s="236"/>
      <c r="H14" s="233">
        <f t="shared" si="4"/>
        <v>44834</v>
      </c>
    </row>
    <row r="15" spans="1:16" x14ac:dyDescent="0.3">
      <c r="A15" s="233">
        <f t="shared" si="0"/>
        <v>44865</v>
      </c>
      <c r="B15" s="234">
        <v>6</v>
      </c>
      <c r="C15" s="237">
        <f t="shared" si="5"/>
        <v>5152.95</v>
      </c>
      <c r="D15" s="236">
        <f t="shared" si="1"/>
        <v>3117.2072624194107</v>
      </c>
      <c r="E15" s="236">
        <f t="shared" si="2"/>
        <v>2035.7427375805894</v>
      </c>
      <c r="F15" s="236">
        <f t="shared" si="3"/>
        <v>218963.81865546311</v>
      </c>
      <c r="G15" s="236"/>
      <c r="H15" s="233">
        <f t="shared" si="4"/>
        <v>44865</v>
      </c>
    </row>
    <row r="16" spans="1:16" x14ac:dyDescent="0.3">
      <c r="A16" s="233">
        <f t="shared" si="0"/>
        <v>44895</v>
      </c>
      <c r="B16" s="234">
        <v>7</v>
      </c>
      <c r="C16" s="237">
        <f t="shared" si="5"/>
        <v>5152.95</v>
      </c>
      <c r="D16" s="236">
        <f t="shared" si="1"/>
        <v>3145.7816623249214</v>
      </c>
      <c r="E16" s="236">
        <f t="shared" si="2"/>
        <v>2007.1683376750784</v>
      </c>
      <c r="F16" s="236">
        <f t="shared" si="3"/>
        <v>215818.0369931382</v>
      </c>
      <c r="G16" s="236"/>
      <c r="H16" s="233">
        <f t="shared" si="4"/>
        <v>44895</v>
      </c>
    </row>
    <row r="17" spans="1:8" x14ac:dyDescent="0.3">
      <c r="A17" s="233">
        <f t="shared" si="0"/>
        <v>44926</v>
      </c>
      <c r="B17" s="234">
        <v>8</v>
      </c>
      <c r="C17" s="237">
        <f>$C$2+150</f>
        <v>5302.95</v>
      </c>
      <c r="D17" s="236">
        <f t="shared" si="1"/>
        <v>3324.6179942295666</v>
      </c>
      <c r="E17" s="236">
        <f t="shared" si="2"/>
        <v>1978.3320057704332</v>
      </c>
      <c r="F17" s="236">
        <f t="shared" si="3"/>
        <v>212493.41899890863</v>
      </c>
      <c r="G17" s="236"/>
      <c r="H17" s="233">
        <f t="shared" si="4"/>
        <v>44926</v>
      </c>
    </row>
    <row r="18" spans="1:8" x14ac:dyDescent="0.3">
      <c r="A18" s="233">
        <f t="shared" si="0"/>
        <v>44957</v>
      </c>
      <c r="B18" s="234">
        <v>9</v>
      </c>
      <c r="C18" s="237">
        <f t="shared" si="5"/>
        <v>5152.95</v>
      </c>
      <c r="D18" s="236">
        <f t="shared" si="1"/>
        <v>3205.0936591766708</v>
      </c>
      <c r="E18" s="236">
        <f t="shared" si="2"/>
        <v>1947.856340823329</v>
      </c>
      <c r="F18" s="236">
        <f t="shared" si="3"/>
        <v>209288.32533973196</v>
      </c>
      <c r="G18" s="236"/>
      <c r="H18" s="233">
        <f t="shared" si="4"/>
        <v>44957</v>
      </c>
    </row>
    <row r="19" spans="1:8" x14ac:dyDescent="0.3">
      <c r="A19" s="233">
        <f t="shared" si="0"/>
        <v>44985</v>
      </c>
      <c r="B19" s="234">
        <v>10</v>
      </c>
      <c r="C19" s="237">
        <f t="shared" si="5"/>
        <v>5152.95</v>
      </c>
      <c r="D19" s="236">
        <f t="shared" si="1"/>
        <v>3234.47368438579</v>
      </c>
      <c r="E19" s="236">
        <f t="shared" si="2"/>
        <v>1918.4763156142096</v>
      </c>
      <c r="F19" s="236">
        <f t="shared" si="3"/>
        <v>206053.85165534617</v>
      </c>
      <c r="G19" s="236"/>
      <c r="H19" s="233">
        <f t="shared" si="4"/>
        <v>44985</v>
      </c>
    </row>
    <row r="20" spans="1:8" x14ac:dyDescent="0.3">
      <c r="A20" s="233">
        <f t="shared" si="0"/>
        <v>45016</v>
      </c>
      <c r="B20" s="234">
        <v>11</v>
      </c>
      <c r="C20" s="237">
        <f t="shared" si="5"/>
        <v>5152.95</v>
      </c>
      <c r="D20" s="236">
        <f t="shared" si="1"/>
        <v>3264.1230264926598</v>
      </c>
      <c r="E20" s="236">
        <f t="shared" si="2"/>
        <v>1888.82697350734</v>
      </c>
      <c r="F20" s="236">
        <f t="shared" si="3"/>
        <v>202789.72862885351</v>
      </c>
      <c r="G20" s="236"/>
      <c r="H20" s="233">
        <f t="shared" si="4"/>
        <v>45016</v>
      </c>
    </row>
    <row r="21" spans="1:8" x14ac:dyDescent="0.3">
      <c r="A21" s="233">
        <f t="shared" si="0"/>
        <v>45046</v>
      </c>
      <c r="B21" s="234">
        <v>12</v>
      </c>
      <c r="C21" s="237">
        <f t="shared" si="5"/>
        <v>5152.95</v>
      </c>
      <c r="D21" s="236">
        <f t="shared" si="1"/>
        <v>3294.0441542355093</v>
      </c>
      <c r="E21" s="236">
        <f t="shared" si="2"/>
        <v>1858.9058457644906</v>
      </c>
      <c r="F21" s="236">
        <f t="shared" si="3"/>
        <v>199495.684474618</v>
      </c>
      <c r="G21" s="236"/>
      <c r="H21" s="233">
        <f t="shared" si="4"/>
        <v>45046</v>
      </c>
    </row>
    <row r="22" spans="1:8" x14ac:dyDescent="0.3">
      <c r="A22" s="233">
        <f t="shared" si="0"/>
        <v>45077</v>
      </c>
      <c r="B22" s="234">
        <v>13</v>
      </c>
      <c r="C22" s="237">
        <f t="shared" si="5"/>
        <v>5152.95</v>
      </c>
      <c r="D22" s="236">
        <f t="shared" si="1"/>
        <v>3324.2395589826683</v>
      </c>
      <c r="E22" s="236">
        <f t="shared" si="2"/>
        <v>1828.7104410173315</v>
      </c>
      <c r="F22" s="236">
        <f t="shared" si="3"/>
        <v>196171.44491563534</v>
      </c>
      <c r="G22" s="236"/>
      <c r="H22" s="233">
        <f t="shared" si="4"/>
        <v>45077</v>
      </c>
    </row>
    <row r="23" spans="1:8" x14ac:dyDescent="0.3">
      <c r="A23" s="233">
        <f t="shared" si="0"/>
        <v>45107</v>
      </c>
      <c r="B23" s="234">
        <v>14</v>
      </c>
      <c r="C23" s="237">
        <f t="shared" si="5"/>
        <v>5152.95</v>
      </c>
      <c r="D23" s="236">
        <f t="shared" si="1"/>
        <v>3354.7117549400091</v>
      </c>
      <c r="E23" s="236">
        <f t="shared" si="2"/>
        <v>1798.2382450599905</v>
      </c>
      <c r="F23" s="236">
        <f t="shared" si="3"/>
        <v>192816.73316069532</v>
      </c>
      <c r="G23" s="236"/>
      <c r="H23" s="233">
        <f t="shared" si="4"/>
        <v>45107</v>
      </c>
    </row>
    <row r="24" spans="1:8" x14ac:dyDescent="0.3">
      <c r="A24" s="233">
        <f t="shared" si="0"/>
        <v>45138</v>
      </c>
      <c r="B24" s="234">
        <v>15</v>
      </c>
      <c r="C24" s="237">
        <f t="shared" si="5"/>
        <v>5152.95</v>
      </c>
      <c r="D24" s="236">
        <f t="shared" si="1"/>
        <v>3385.4632793602927</v>
      </c>
      <c r="E24" s="236">
        <f t="shared" si="2"/>
        <v>1767.4867206397071</v>
      </c>
      <c r="F24" s="236">
        <f t="shared" si="3"/>
        <v>189431.26988133503</v>
      </c>
      <c r="G24" s="236"/>
      <c r="H24" s="233">
        <f t="shared" si="4"/>
        <v>45138</v>
      </c>
    </row>
    <row r="25" spans="1:8" x14ac:dyDescent="0.3">
      <c r="A25" s="233">
        <f t="shared" si="0"/>
        <v>45169</v>
      </c>
      <c r="B25" s="234">
        <v>16</v>
      </c>
      <c r="C25" s="237">
        <f t="shared" si="5"/>
        <v>5152.95</v>
      </c>
      <c r="D25" s="236">
        <f t="shared" si="1"/>
        <v>3416.4966927544288</v>
      </c>
      <c r="E25" s="236">
        <f t="shared" si="2"/>
        <v>1736.4533072455711</v>
      </c>
      <c r="F25" s="236">
        <f t="shared" si="3"/>
        <v>186014.77318858061</v>
      </c>
      <c r="G25" s="236"/>
      <c r="H25" s="233">
        <f t="shared" si="4"/>
        <v>45169</v>
      </c>
    </row>
    <row r="26" spans="1:8" x14ac:dyDescent="0.3">
      <c r="A26" s="233">
        <f t="shared" si="0"/>
        <v>45199</v>
      </c>
      <c r="B26" s="234">
        <v>17</v>
      </c>
      <c r="C26" s="237">
        <f t="shared" si="5"/>
        <v>5152.95</v>
      </c>
      <c r="D26" s="236">
        <f t="shared" si="1"/>
        <v>3447.8145791046773</v>
      </c>
      <c r="E26" s="236">
        <f t="shared" si="2"/>
        <v>1705.1354208953223</v>
      </c>
      <c r="F26" s="236">
        <f t="shared" si="3"/>
        <v>182566.95860947593</v>
      </c>
      <c r="G26" s="236"/>
      <c r="H26" s="233">
        <f t="shared" si="4"/>
        <v>45199</v>
      </c>
    </row>
    <row r="27" spans="1:8" x14ac:dyDescent="0.3">
      <c r="A27" s="233">
        <f t="shared" si="0"/>
        <v>45230</v>
      </c>
      <c r="B27" s="234">
        <v>18</v>
      </c>
      <c r="C27" s="237">
        <f t="shared" si="5"/>
        <v>5152.95</v>
      </c>
      <c r="D27" s="236">
        <f t="shared" si="1"/>
        <v>3479.4195460798037</v>
      </c>
      <c r="E27" s="236">
        <f t="shared" si="2"/>
        <v>1673.5304539201961</v>
      </c>
      <c r="F27" s="236">
        <f t="shared" si="3"/>
        <v>179087.53906339614</v>
      </c>
      <c r="G27" s="236"/>
      <c r="H27" s="233">
        <f t="shared" si="4"/>
        <v>45230</v>
      </c>
    </row>
    <row r="28" spans="1:8" x14ac:dyDescent="0.3">
      <c r="A28" s="233">
        <f t="shared" si="0"/>
        <v>45260</v>
      </c>
      <c r="B28" s="234">
        <v>19</v>
      </c>
      <c r="C28" s="237">
        <f t="shared" si="5"/>
        <v>5152.95</v>
      </c>
      <c r="D28" s="236">
        <f t="shared" si="1"/>
        <v>3511.314225252202</v>
      </c>
      <c r="E28" s="236">
        <f t="shared" si="2"/>
        <v>1641.635774747798</v>
      </c>
      <c r="F28" s="236">
        <f t="shared" si="3"/>
        <v>175576.22483814394</v>
      </c>
      <c r="G28" s="236"/>
      <c r="H28" s="233">
        <f t="shared" si="4"/>
        <v>45260</v>
      </c>
    </row>
    <row r="29" spans="1:8" x14ac:dyDescent="0.3">
      <c r="A29" s="233">
        <f t="shared" si="0"/>
        <v>45291</v>
      </c>
      <c r="B29" s="234">
        <v>20</v>
      </c>
      <c r="C29" s="237">
        <f t="shared" si="5"/>
        <v>5152.95</v>
      </c>
      <c r="D29" s="236">
        <f t="shared" si="1"/>
        <v>3543.5012723170139</v>
      </c>
      <c r="E29" s="236">
        <f t="shared" si="2"/>
        <v>1609.4487276829861</v>
      </c>
      <c r="F29" s="236">
        <f t="shared" si="3"/>
        <v>172032.72356582692</v>
      </c>
      <c r="G29" s="236"/>
      <c r="H29" s="233">
        <f t="shared" si="4"/>
        <v>45291</v>
      </c>
    </row>
    <row r="30" spans="1:8" x14ac:dyDescent="0.3">
      <c r="A30" s="233">
        <f t="shared" si="0"/>
        <v>45322</v>
      </c>
      <c r="B30" s="234">
        <v>21</v>
      </c>
      <c r="C30" s="237">
        <f t="shared" si="5"/>
        <v>5152.95</v>
      </c>
      <c r="D30" s="236">
        <f t="shared" si="1"/>
        <v>3575.9833673132534</v>
      </c>
      <c r="E30" s="236">
        <f t="shared" si="2"/>
        <v>1576.9666326867466</v>
      </c>
      <c r="F30" s="236">
        <f t="shared" si="3"/>
        <v>168456.74019851367</v>
      </c>
      <c r="G30" s="236"/>
      <c r="H30" s="233">
        <f t="shared" si="4"/>
        <v>45322</v>
      </c>
    </row>
    <row r="31" spans="1:8" x14ac:dyDescent="0.3">
      <c r="A31" s="233">
        <f t="shared" si="0"/>
        <v>45351</v>
      </c>
      <c r="B31" s="234">
        <v>22</v>
      </c>
      <c r="C31" s="237">
        <f t="shared" si="5"/>
        <v>5152.95</v>
      </c>
      <c r="D31" s="236">
        <f t="shared" si="1"/>
        <v>3608.7632148469579</v>
      </c>
      <c r="E31" s="236">
        <f t="shared" si="2"/>
        <v>1544.1867851530419</v>
      </c>
      <c r="F31" s="236">
        <f t="shared" si="3"/>
        <v>164847.97698366671</v>
      </c>
      <c r="G31" s="236"/>
      <c r="H31" s="233">
        <f t="shared" si="4"/>
        <v>45351</v>
      </c>
    </row>
    <row r="32" spans="1:8" x14ac:dyDescent="0.3">
      <c r="A32" s="233">
        <f t="shared" si="0"/>
        <v>45382</v>
      </c>
      <c r="B32" s="234">
        <v>23</v>
      </c>
      <c r="C32" s="237">
        <f t="shared" si="5"/>
        <v>5152.95</v>
      </c>
      <c r="D32" s="236">
        <f t="shared" si="1"/>
        <v>3641.8435443163885</v>
      </c>
      <c r="E32" s="236">
        <f t="shared" si="2"/>
        <v>1511.1064556836113</v>
      </c>
      <c r="F32" s="236">
        <f t="shared" si="3"/>
        <v>161206.13343935032</v>
      </c>
      <c r="G32" s="236"/>
      <c r="H32" s="233">
        <f t="shared" si="4"/>
        <v>45382</v>
      </c>
    </row>
    <row r="33" spans="1:10" x14ac:dyDescent="0.3">
      <c r="A33" s="233">
        <f t="shared" si="0"/>
        <v>45412</v>
      </c>
      <c r="B33" s="234">
        <v>24</v>
      </c>
      <c r="C33" s="237">
        <f t="shared" si="5"/>
        <v>5152.95</v>
      </c>
      <c r="D33" s="236">
        <f t="shared" si="1"/>
        <v>3675.2271101392889</v>
      </c>
      <c r="E33" s="236">
        <f t="shared" si="2"/>
        <v>1477.7228898607111</v>
      </c>
      <c r="F33" s="236">
        <f t="shared" si="3"/>
        <v>157530.90632921102</v>
      </c>
      <c r="G33" s="236"/>
      <c r="H33" s="233">
        <f t="shared" si="4"/>
        <v>45412</v>
      </c>
    </row>
    <row r="34" spans="1:10" x14ac:dyDescent="0.3">
      <c r="A34" s="233">
        <f t="shared" si="0"/>
        <v>45443</v>
      </c>
      <c r="B34" s="234">
        <v>25</v>
      </c>
      <c r="C34" s="237">
        <f t="shared" si="5"/>
        <v>5152.95</v>
      </c>
      <c r="D34" s="236">
        <f t="shared" si="1"/>
        <v>3708.9166919822319</v>
      </c>
      <c r="E34" s="236">
        <f t="shared" si="2"/>
        <v>1444.0333080177677</v>
      </c>
      <c r="F34" s="236">
        <f t="shared" si="3"/>
        <v>153821.98963722878</v>
      </c>
      <c r="G34" s="236"/>
      <c r="H34" s="233">
        <f t="shared" si="4"/>
        <v>45443</v>
      </c>
    </row>
    <row r="35" spans="1:10" x14ac:dyDescent="0.3">
      <c r="A35" s="233">
        <f t="shared" si="0"/>
        <v>45473</v>
      </c>
      <c r="B35" s="234">
        <v>26</v>
      </c>
      <c r="C35" s="237">
        <f t="shared" si="5"/>
        <v>5152.95</v>
      </c>
      <c r="D35" s="236">
        <f t="shared" si="1"/>
        <v>3742.9150949920695</v>
      </c>
      <c r="E35" s="236">
        <f t="shared" si="2"/>
        <v>1410.0349050079303</v>
      </c>
      <c r="F35" s="236">
        <f t="shared" si="3"/>
        <v>150079.07454223672</v>
      </c>
      <c r="G35" s="236"/>
      <c r="H35" s="233">
        <f t="shared" si="4"/>
        <v>45473</v>
      </c>
    </row>
    <row r="36" spans="1:10" x14ac:dyDescent="0.3">
      <c r="A36" s="233">
        <f t="shared" si="0"/>
        <v>45504</v>
      </c>
      <c r="B36" s="234">
        <v>27</v>
      </c>
      <c r="C36" s="237">
        <f t="shared" si="5"/>
        <v>5152.95</v>
      </c>
      <c r="D36" s="236">
        <f t="shared" si="1"/>
        <v>3777.2251500294969</v>
      </c>
      <c r="E36" s="236">
        <f t="shared" si="2"/>
        <v>1375.7248499705031</v>
      </c>
      <c r="F36" s="236">
        <f t="shared" si="3"/>
        <v>146301.84939220722</v>
      </c>
      <c r="G36" s="236"/>
      <c r="H36" s="233">
        <f t="shared" si="4"/>
        <v>45504</v>
      </c>
    </row>
    <row r="37" spans="1:10" x14ac:dyDescent="0.3">
      <c r="A37" s="233">
        <f t="shared" si="0"/>
        <v>45535</v>
      </c>
      <c r="B37" s="234">
        <v>28</v>
      </c>
      <c r="C37" s="237">
        <f t="shared" si="5"/>
        <v>5152.95</v>
      </c>
      <c r="D37" s="236">
        <f t="shared" si="1"/>
        <v>3811.8497139047668</v>
      </c>
      <c r="E37" s="236">
        <f t="shared" si="2"/>
        <v>1341.1002860952328</v>
      </c>
      <c r="F37" s="236">
        <f t="shared" si="3"/>
        <v>142489.99967830247</v>
      </c>
      <c r="G37" s="236"/>
      <c r="H37" s="233">
        <f t="shared" si="4"/>
        <v>45535</v>
      </c>
    </row>
    <row r="38" spans="1:10" x14ac:dyDescent="0.3">
      <c r="A38" s="233">
        <f t="shared" si="0"/>
        <v>45565</v>
      </c>
      <c r="B38" s="234">
        <v>29</v>
      </c>
      <c r="C38" s="237">
        <f t="shared" si="5"/>
        <v>5152.95</v>
      </c>
      <c r="D38" s="236">
        <f t="shared" si="1"/>
        <v>3846.7916696155607</v>
      </c>
      <c r="E38" s="236">
        <f t="shared" si="2"/>
        <v>1306.1583303844393</v>
      </c>
      <c r="F38" s="236">
        <f t="shared" si="3"/>
        <v>138643.2080086869</v>
      </c>
      <c r="G38" s="236"/>
      <c r="H38" s="233">
        <f t="shared" si="4"/>
        <v>45565</v>
      </c>
    </row>
    <row r="39" spans="1:10" x14ac:dyDescent="0.3">
      <c r="A39" s="233">
        <f t="shared" si="0"/>
        <v>45596</v>
      </c>
      <c r="B39" s="234">
        <v>30</v>
      </c>
      <c r="C39" s="237">
        <f>5202.95</f>
        <v>5202.95</v>
      </c>
      <c r="D39" s="236">
        <f t="shared" si="1"/>
        <v>3932.0539265870366</v>
      </c>
      <c r="E39" s="236">
        <f t="shared" si="2"/>
        <v>1270.8960734129632</v>
      </c>
      <c r="F39" s="236">
        <f t="shared" si="3"/>
        <v>134711.15408209985</v>
      </c>
      <c r="G39" s="236"/>
      <c r="H39" s="233">
        <f t="shared" si="4"/>
        <v>45596</v>
      </c>
    </row>
    <row r="40" spans="1:10" x14ac:dyDescent="0.3">
      <c r="A40" s="233">
        <f t="shared" si="0"/>
        <v>45626</v>
      </c>
      <c r="B40" s="234">
        <v>31</v>
      </c>
      <c r="C40" s="237">
        <f t="shared" si="5"/>
        <v>5152.95</v>
      </c>
      <c r="D40" s="236">
        <f t="shared" si="1"/>
        <v>3918.0977542474179</v>
      </c>
      <c r="E40" s="236">
        <f t="shared" si="2"/>
        <v>1234.8522457525819</v>
      </c>
      <c r="F40" s="236">
        <f t="shared" si="3"/>
        <v>130793.05632785244</v>
      </c>
      <c r="G40" s="236"/>
      <c r="H40" s="233">
        <f t="shared" si="4"/>
        <v>45626</v>
      </c>
    </row>
    <row r="41" spans="1:10" x14ac:dyDescent="0.3">
      <c r="A41" s="233">
        <f t="shared" si="0"/>
        <v>45657</v>
      </c>
      <c r="B41" s="234">
        <v>32</v>
      </c>
      <c r="C41" s="237">
        <f t="shared" si="5"/>
        <v>5152.95</v>
      </c>
      <c r="D41" s="236">
        <f t="shared" si="1"/>
        <v>3954.0136503280191</v>
      </c>
      <c r="E41" s="236">
        <f t="shared" si="2"/>
        <v>1198.9363496719807</v>
      </c>
      <c r="F41" s="236">
        <f t="shared" si="3"/>
        <v>126839.04267752441</v>
      </c>
      <c r="G41" s="236"/>
      <c r="H41" s="233">
        <f t="shared" si="4"/>
        <v>45657</v>
      </c>
    </row>
    <row r="42" spans="1:10" x14ac:dyDescent="0.3">
      <c r="A42" s="233">
        <f t="shared" si="0"/>
        <v>45688</v>
      </c>
      <c r="B42" s="234">
        <v>33</v>
      </c>
      <c r="C42" s="237">
        <f t="shared" si="5"/>
        <v>5152.95</v>
      </c>
      <c r="D42" s="236">
        <f t="shared" si="1"/>
        <v>3990.2587754560263</v>
      </c>
      <c r="E42" s="236">
        <f t="shared" si="2"/>
        <v>1162.6912245439737</v>
      </c>
      <c r="F42" s="236">
        <f>F41-D42</f>
        <v>122848.78390206839</v>
      </c>
      <c r="G42" s="236"/>
      <c r="H42" s="233">
        <f t="shared" si="4"/>
        <v>45688</v>
      </c>
      <c r="I42" s="226">
        <f>D43-D42</f>
        <v>36.577372108346481</v>
      </c>
      <c r="J42" s="328"/>
    </row>
    <row r="43" spans="1:10" x14ac:dyDescent="0.3">
      <c r="A43" s="233">
        <f t="shared" si="0"/>
        <v>45716</v>
      </c>
      <c r="B43" s="234">
        <v>34</v>
      </c>
      <c r="C43" s="237">
        <f t="shared" si="5"/>
        <v>5152.95</v>
      </c>
      <c r="D43" s="236">
        <f t="shared" si="1"/>
        <v>4026.8361475643728</v>
      </c>
      <c r="E43" s="236">
        <f t="shared" si="2"/>
        <v>1126.113852435627</v>
      </c>
      <c r="F43" s="236">
        <f t="shared" si="3"/>
        <v>118821.94775450401</v>
      </c>
      <c r="G43" s="236"/>
      <c r="H43" s="233">
        <f t="shared" si="4"/>
        <v>45716</v>
      </c>
    </row>
    <row r="44" spans="1:10" x14ac:dyDescent="0.3">
      <c r="A44" s="233">
        <f t="shared" si="0"/>
        <v>45747</v>
      </c>
      <c r="B44" s="234">
        <v>35</v>
      </c>
      <c r="C44" s="237">
        <f t="shared" si="5"/>
        <v>5152.95</v>
      </c>
      <c r="D44" s="236">
        <f t="shared" si="1"/>
        <v>4063.7488122503801</v>
      </c>
      <c r="E44" s="236">
        <f t="shared" si="2"/>
        <v>1089.20118774962</v>
      </c>
      <c r="F44" s="236">
        <f t="shared" si="3"/>
        <v>114758.19894225363</v>
      </c>
      <c r="G44" s="236"/>
      <c r="H44" s="233">
        <f t="shared" si="4"/>
        <v>45747</v>
      </c>
      <c r="I44" s="226">
        <f>D44-D42</f>
        <v>73.490036794353728</v>
      </c>
    </row>
    <row r="45" spans="1:10" x14ac:dyDescent="0.3">
      <c r="A45" s="233">
        <f t="shared" si="0"/>
        <v>45777</v>
      </c>
      <c r="B45" s="234">
        <v>36</v>
      </c>
      <c r="C45" s="237">
        <f>114758.2</f>
        <v>114758.2</v>
      </c>
      <c r="D45" s="236">
        <f t="shared" si="1"/>
        <v>114758.2</v>
      </c>
      <c r="E45" s="236">
        <v>0</v>
      </c>
      <c r="F45" s="236">
        <f t="shared" si="3"/>
        <v>-1.0577463690424338E-3</v>
      </c>
      <c r="G45" s="236"/>
      <c r="H45" s="233">
        <f t="shared" si="4"/>
        <v>45777</v>
      </c>
      <c r="I45" s="356" t="s">
        <v>384</v>
      </c>
      <c r="J45" s="226"/>
    </row>
    <row r="46" spans="1:10" x14ac:dyDescent="0.3">
      <c r="A46" s="238">
        <f t="shared" si="0"/>
        <v>45808</v>
      </c>
      <c r="B46" s="228">
        <v>37</v>
      </c>
      <c r="C46" s="239"/>
      <c r="D46" s="226">
        <f t="shared" si="1"/>
        <v>9.6960083828889773E-6</v>
      </c>
      <c r="E46" s="226">
        <f t="shared" si="2"/>
        <v>-9.6960083828889773E-6</v>
      </c>
      <c r="F46" s="226">
        <f t="shared" si="3"/>
        <v>-1.0674423774253228E-3</v>
      </c>
      <c r="G46" s="226"/>
      <c r="H46" s="238">
        <f t="shared" si="4"/>
        <v>45808</v>
      </c>
    </row>
    <row r="47" spans="1:10" x14ac:dyDescent="0.3">
      <c r="A47" s="238">
        <f t="shared" si="0"/>
        <v>45838</v>
      </c>
      <c r="B47" s="228">
        <v>38</v>
      </c>
      <c r="C47" s="239"/>
      <c r="D47" s="226">
        <f t="shared" si="1"/>
        <v>9.7848884597321252E-6</v>
      </c>
      <c r="E47" s="226">
        <f t="shared" si="2"/>
        <v>-9.7848884597321252E-6</v>
      </c>
      <c r="F47" s="226">
        <f t="shared" si="3"/>
        <v>-1.0772272658850549E-3</v>
      </c>
      <c r="G47" s="226"/>
      <c r="H47" s="238">
        <f t="shared" si="4"/>
        <v>45838</v>
      </c>
    </row>
    <row r="48" spans="1:10" x14ac:dyDescent="0.3">
      <c r="A48" s="238">
        <f t="shared" si="0"/>
        <v>45869</v>
      </c>
      <c r="B48" s="228">
        <v>39</v>
      </c>
      <c r="C48" s="239"/>
      <c r="D48" s="226">
        <f t="shared" si="1"/>
        <v>9.8745832706130036E-6</v>
      </c>
      <c r="E48" s="226">
        <f t="shared" si="2"/>
        <v>-9.8745832706130036E-6</v>
      </c>
      <c r="F48" s="226">
        <f t="shared" si="3"/>
        <v>-1.0871018491556679E-3</v>
      </c>
      <c r="G48" s="226"/>
      <c r="H48" s="238">
        <f t="shared" si="4"/>
        <v>45869</v>
      </c>
    </row>
    <row r="49" spans="1:8" x14ac:dyDescent="0.3">
      <c r="A49" s="238">
        <f t="shared" si="0"/>
        <v>45900</v>
      </c>
      <c r="B49" s="228">
        <v>40</v>
      </c>
      <c r="C49" s="239"/>
      <c r="D49" s="226">
        <f t="shared" si="1"/>
        <v>9.9651002839269556E-6</v>
      </c>
      <c r="E49" s="226">
        <f t="shared" si="2"/>
        <v>-9.9651002839269556E-6</v>
      </c>
      <c r="F49" s="226">
        <f t="shared" si="3"/>
        <v>-1.0970669494395949E-3</v>
      </c>
      <c r="G49" s="226"/>
      <c r="H49" s="238">
        <f t="shared" si="4"/>
        <v>45900</v>
      </c>
    </row>
    <row r="50" spans="1:8" x14ac:dyDescent="0.3">
      <c r="A50" s="238">
        <f t="shared" si="0"/>
        <v>45930</v>
      </c>
      <c r="B50" s="228">
        <v>41</v>
      </c>
      <c r="C50" s="239"/>
      <c r="D50" s="226">
        <f t="shared" si="1"/>
        <v>1.005644703652962E-5</v>
      </c>
      <c r="E50" s="226">
        <f t="shared" si="2"/>
        <v>-1.005644703652962E-5</v>
      </c>
      <c r="F50" s="226">
        <f t="shared" si="3"/>
        <v>-1.1071233964761245E-3</v>
      </c>
      <c r="G50" s="226"/>
      <c r="H50" s="238">
        <f t="shared" si="4"/>
        <v>45930</v>
      </c>
    </row>
    <row r="51" spans="1:8" x14ac:dyDescent="0.3">
      <c r="A51" s="238">
        <f t="shared" si="0"/>
        <v>45961</v>
      </c>
      <c r="B51" s="228">
        <v>42</v>
      </c>
      <c r="C51" s="239"/>
      <c r="D51" s="226">
        <f t="shared" si="1"/>
        <v>1.0148631134364473E-5</v>
      </c>
      <c r="E51" s="226">
        <f t="shared" si="2"/>
        <v>-1.0148631134364473E-5</v>
      </c>
      <c r="F51" s="226">
        <f t="shared" si="3"/>
        <v>-1.1172720276104891E-3</v>
      </c>
      <c r="G51" s="226"/>
      <c r="H51" s="238">
        <f t="shared" si="4"/>
        <v>45961</v>
      </c>
    </row>
    <row r="52" spans="1:8" x14ac:dyDescent="0.3">
      <c r="A52" s="238">
        <f t="shared" si="0"/>
        <v>45991</v>
      </c>
      <c r="B52" s="228">
        <v>43</v>
      </c>
      <c r="C52" s="239"/>
      <c r="D52" s="226">
        <f t="shared" si="1"/>
        <v>1.024166025309615E-5</v>
      </c>
      <c r="E52" s="226">
        <f t="shared" si="2"/>
        <v>-1.024166025309615E-5</v>
      </c>
      <c r="F52" s="226">
        <f t="shared" si="3"/>
        <v>-1.1275136878635852E-3</v>
      </c>
      <c r="G52" s="226"/>
      <c r="H52" s="238">
        <f t="shared" si="4"/>
        <v>45991</v>
      </c>
    </row>
    <row r="53" spans="1:8" x14ac:dyDescent="0.3">
      <c r="A53" s="238">
        <f t="shared" si="0"/>
        <v>46022</v>
      </c>
      <c r="B53" s="228">
        <v>44</v>
      </c>
      <c r="C53" s="239"/>
      <c r="D53" s="226">
        <f t="shared" si="1"/>
        <v>1.0335542138749531E-5</v>
      </c>
      <c r="E53" s="226">
        <f t="shared" si="2"/>
        <v>-1.0335542138749531E-5</v>
      </c>
      <c r="F53" s="226">
        <f t="shared" si="3"/>
        <v>-1.1378492300023347E-3</v>
      </c>
      <c r="G53" s="226"/>
      <c r="H53" s="238">
        <f t="shared" si="4"/>
        <v>46022</v>
      </c>
    </row>
    <row r="54" spans="1:8" x14ac:dyDescent="0.3">
      <c r="A54" s="238">
        <f t="shared" si="0"/>
        <v>46053</v>
      </c>
      <c r="B54" s="228">
        <v>45</v>
      </c>
      <c r="C54" s="239"/>
      <c r="D54" s="226">
        <f t="shared" si="1"/>
        <v>1.0430284608354733E-5</v>
      </c>
      <c r="E54" s="226">
        <f t="shared" si="2"/>
        <v>-1.0430284608354733E-5</v>
      </c>
      <c r="F54" s="226">
        <f t="shared" si="3"/>
        <v>-1.1482795146106894E-3</v>
      </c>
      <c r="G54" s="226"/>
      <c r="H54" s="238">
        <f t="shared" si="4"/>
        <v>46053</v>
      </c>
    </row>
    <row r="55" spans="1:8" x14ac:dyDescent="0.3">
      <c r="A55" s="238">
        <f t="shared" si="0"/>
        <v>46081</v>
      </c>
      <c r="B55" s="228">
        <v>46</v>
      </c>
      <c r="C55" s="239"/>
      <c r="D55" s="226">
        <f t="shared" si="1"/>
        <v>1.0525895550597985E-5</v>
      </c>
      <c r="E55" s="226">
        <f t="shared" si="2"/>
        <v>-1.0525895550597985E-5</v>
      </c>
      <c r="F55" s="226">
        <f t="shared" si="3"/>
        <v>-1.1588054101612875E-3</v>
      </c>
      <c r="G55" s="226"/>
      <c r="H55" s="238">
        <f t="shared" si="4"/>
        <v>46081</v>
      </c>
    </row>
    <row r="56" spans="1:8" x14ac:dyDescent="0.3">
      <c r="A56" s="238">
        <f t="shared" si="0"/>
        <v>46112</v>
      </c>
      <c r="B56" s="228">
        <v>47</v>
      </c>
      <c r="C56" s="239"/>
      <c r="D56" s="226">
        <f t="shared" si="1"/>
        <v>1.0622382926478467E-5</v>
      </c>
      <c r="E56" s="226">
        <f t="shared" si="2"/>
        <v>-1.0622382926478467E-5</v>
      </c>
      <c r="F56" s="226">
        <f t="shared" si="3"/>
        <v>-1.169427793087766E-3</v>
      </c>
      <c r="G56" s="226"/>
      <c r="H56" s="238">
        <f t="shared" si="4"/>
        <v>46112</v>
      </c>
    </row>
    <row r="57" spans="1:8" x14ac:dyDescent="0.3">
      <c r="A57" s="238">
        <f t="shared" si="0"/>
        <v>46142</v>
      </c>
      <c r="B57" s="228">
        <v>48</v>
      </c>
      <c r="C57" s="239"/>
      <c r="D57" s="226">
        <f t="shared" si="1"/>
        <v>1.0719754769971188E-5</v>
      </c>
      <c r="E57" s="226">
        <f t="shared" si="2"/>
        <v>-1.0719754769971188E-5</v>
      </c>
      <c r="F57" s="226">
        <f t="shared" si="3"/>
        <v>-1.1801475478577371E-3</v>
      </c>
      <c r="G57" s="226"/>
      <c r="H57" s="238">
        <f t="shared" si="4"/>
        <v>46142</v>
      </c>
    </row>
    <row r="58" spans="1:8" x14ac:dyDescent="0.3">
      <c r="A58" s="238">
        <f t="shared" si="0"/>
        <v>46173</v>
      </c>
      <c r="B58" s="228">
        <v>49</v>
      </c>
      <c r="C58" s="239"/>
      <c r="D58" s="226">
        <f t="shared" si="1"/>
        <v>1.0818019188695922E-5</v>
      </c>
      <c r="E58" s="226">
        <f t="shared" si="2"/>
        <v>-1.0818019188695922E-5</v>
      </c>
      <c r="F58" s="226">
        <f t="shared" si="3"/>
        <v>-1.190965567046433E-3</v>
      </c>
      <c r="G58" s="226"/>
      <c r="H58" s="238">
        <f t="shared" si="4"/>
        <v>46173</v>
      </c>
    </row>
    <row r="59" spans="1:8" x14ac:dyDescent="0.3">
      <c r="A59" s="238">
        <f t="shared" si="0"/>
        <v>46203</v>
      </c>
      <c r="B59" s="228">
        <v>50</v>
      </c>
      <c r="C59" s="239"/>
      <c r="D59" s="226">
        <f t="shared" si="1"/>
        <v>1.0917184364592302E-5</v>
      </c>
      <c r="E59" s="226">
        <f t="shared" si="2"/>
        <v>-1.0917184364592302E-5</v>
      </c>
      <c r="F59" s="226">
        <f t="shared" si="3"/>
        <v>-1.2018827514110252E-3</v>
      </c>
      <c r="G59" s="226"/>
      <c r="H59" s="238">
        <f t="shared" si="4"/>
        <v>46203</v>
      </c>
    </row>
    <row r="60" spans="1:8" x14ac:dyDescent="0.3">
      <c r="A60" s="238">
        <f t="shared" si="0"/>
        <v>46234</v>
      </c>
      <c r="B60" s="228">
        <v>51</v>
      </c>
      <c r="C60" s="239"/>
      <c r="D60" s="226">
        <f t="shared" si="1"/>
        <v>1.1017258554601065E-5</v>
      </c>
      <c r="E60" s="226">
        <f t="shared" si="2"/>
        <v>-1.1017258554601065E-5</v>
      </c>
      <c r="F60" s="226">
        <f t="shared" si="3"/>
        <v>-1.2129000099656262E-3</v>
      </c>
      <c r="G60" s="226"/>
      <c r="H60" s="238">
        <f t="shared" si="4"/>
        <v>46234</v>
      </c>
    </row>
    <row r="61" spans="1:8" x14ac:dyDescent="0.3">
      <c r="A61" s="238">
        <f t="shared" si="0"/>
        <v>46265</v>
      </c>
      <c r="B61" s="228">
        <v>52</v>
      </c>
      <c r="C61" s="239"/>
      <c r="D61" s="226">
        <f t="shared" si="1"/>
        <v>1.1118250091351573E-5</v>
      </c>
      <c r="E61" s="226">
        <f t="shared" si="2"/>
        <v>-1.1118250091351573E-5</v>
      </c>
      <c r="F61" s="226">
        <f t="shared" si="3"/>
        <v>-1.2240182600569778E-3</v>
      </c>
      <c r="G61" s="226"/>
      <c r="H61" s="238">
        <f t="shared" si="4"/>
        <v>46265</v>
      </c>
    </row>
    <row r="62" spans="1:8" x14ac:dyDescent="0.3">
      <c r="A62" s="238">
        <f t="shared" si="0"/>
        <v>46295</v>
      </c>
      <c r="B62" s="228">
        <v>53</v>
      </c>
      <c r="C62" s="239"/>
      <c r="D62" s="226">
        <f t="shared" si="1"/>
        <v>1.1220167383855629E-5</v>
      </c>
      <c r="E62" s="226">
        <f t="shared" si="2"/>
        <v>-1.1220167383855629E-5</v>
      </c>
      <c r="F62" s="226">
        <f t="shared" si="3"/>
        <v>-1.2352384274408334E-3</v>
      </c>
      <c r="G62" s="226"/>
      <c r="H62" s="238">
        <f t="shared" si="4"/>
        <v>46295</v>
      </c>
    </row>
    <row r="63" spans="1:8" x14ac:dyDescent="0.3">
      <c r="A63" s="238">
        <f t="shared" si="0"/>
        <v>46326</v>
      </c>
      <c r="B63" s="228">
        <v>54</v>
      </c>
      <c r="C63" s="239"/>
      <c r="D63" s="226">
        <f t="shared" si="1"/>
        <v>1.1323018918207639E-5</v>
      </c>
      <c r="E63" s="226">
        <f t="shared" si="2"/>
        <v>-1.1323018918207639E-5</v>
      </c>
      <c r="F63" s="226">
        <f t="shared" si="3"/>
        <v>-1.2465614463590411E-3</v>
      </c>
      <c r="G63" s="226"/>
      <c r="H63" s="238">
        <f t="shared" si="4"/>
        <v>46326</v>
      </c>
    </row>
    <row r="64" spans="1:8" x14ac:dyDescent="0.3">
      <c r="A64" s="238">
        <f t="shared" si="0"/>
        <v>46356</v>
      </c>
      <c r="B64" s="228">
        <v>55</v>
      </c>
      <c r="C64" s="239"/>
      <c r="D64" s="226">
        <f t="shared" si="1"/>
        <v>1.1426813258291209E-5</v>
      </c>
      <c r="E64" s="226">
        <f t="shared" si="2"/>
        <v>-1.1426813258291209E-5</v>
      </c>
      <c r="F64" s="226">
        <f t="shared" si="3"/>
        <v>-1.2579882596173322E-3</v>
      </c>
      <c r="G64" s="226"/>
      <c r="H64" s="238">
        <f t="shared" si="4"/>
        <v>46356</v>
      </c>
    </row>
    <row r="65" spans="1:8" x14ac:dyDescent="0.3">
      <c r="A65" s="238">
        <f t="shared" si="0"/>
        <v>46387</v>
      </c>
      <c r="B65" s="228">
        <v>56</v>
      </c>
      <c r="C65" s="239"/>
      <c r="D65" s="226">
        <f t="shared" si="1"/>
        <v>1.1531559046492211E-5</v>
      </c>
      <c r="E65" s="226">
        <f t="shared" si="2"/>
        <v>-1.1531559046492211E-5</v>
      </c>
      <c r="F65" s="226">
        <f t="shared" si="3"/>
        <v>-1.2695198186638244E-3</v>
      </c>
      <c r="G65" s="226"/>
      <c r="H65" s="238">
        <f t="shared" si="4"/>
        <v>46387</v>
      </c>
    </row>
    <row r="66" spans="1:8" x14ac:dyDescent="0.3">
      <c r="A66" s="238">
        <f t="shared" si="0"/>
        <v>46418</v>
      </c>
      <c r="B66" s="228">
        <v>57</v>
      </c>
      <c r="C66" s="239"/>
      <c r="D66" s="226">
        <f t="shared" si="1"/>
        <v>1.163726500441839E-5</v>
      </c>
      <c r="E66" s="226">
        <f t="shared" si="2"/>
        <v>-1.163726500441839E-5</v>
      </c>
      <c r="F66" s="226">
        <f t="shared" si="3"/>
        <v>-1.2811570836682429E-3</v>
      </c>
      <c r="G66" s="226"/>
      <c r="H66" s="238">
        <f t="shared" si="4"/>
        <v>46418</v>
      </c>
    </row>
    <row r="67" spans="1:8" x14ac:dyDescent="0.3">
      <c r="A67" s="238">
        <f t="shared" si="0"/>
        <v>46446</v>
      </c>
      <c r="B67" s="228">
        <v>58</v>
      </c>
      <c r="C67" s="239"/>
      <c r="D67" s="226">
        <f t="shared" si="1"/>
        <v>1.1743939933625559E-5</v>
      </c>
      <c r="E67" s="226">
        <f t="shared" si="2"/>
        <v>-1.1743939933625559E-5</v>
      </c>
      <c r="F67" s="226">
        <f t="shared" si="3"/>
        <v>-1.2929010236018685E-3</v>
      </c>
      <c r="G67" s="226"/>
      <c r="H67" s="238">
        <f t="shared" si="4"/>
        <v>46446</v>
      </c>
    </row>
    <row r="68" spans="1:8" x14ac:dyDescent="0.3">
      <c r="A68" s="238">
        <f t="shared" si="0"/>
        <v>46477</v>
      </c>
      <c r="B68" s="228">
        <v>59</v>
      </c>
      <c r="C68" s="239"/>
      <c r="D68" s="226">
        <f t="shared" si="1"/>
        <v>1.1851592716350461E-5</v>
      </c>
      <c r="E68" s="226">
        <f t="shared" si="2"/>
        <v>-1.1851592716350461E-5</v>
      </c>
      <c r="F68" s="226">
        <f t="shared" si="3"/>
        <v>-1.3047526163182189E-3</v>
      </c>
      <c r="G68" s="226"/>
      <c r="H68" s="238">
        <f t="shared" si="4"/>
        <v>46477</v>
      </c>
    </row>
    <row r="69" spans="1:8" x14ac:dyDescent="0.3">
      <c r="A69" s="238">
        <f t="shared" si="0"/>
        <v>46507</v>
      </c>
      <c r="B69" s="228">
        <v>60</v>
      </c>
      <c r="C69" s="239"/>
      <c r="D69" s="226">
        <f t="shared" si="1"/>
        <v>1.1960232316250339E-5</v>
      </c>
      <c r="E69" s="226">
        <f t="shared" si="2"/>
        <v>-1.1960232316250339E-5</v>
      </c>
      <c r="F69" s="226">
        <f t="shared" si="3"/>
        <v>-1.3167128486344692E-3</v>
      </c>
      <c r="G69" s="226"/>
      <c r="H69" s="238">
        <f t="shared" si="4"/>
        <v>46507</v>
      </c>
    </row>
    <row r="70" spans="1:8" x14ac:dyDescent="0.3">
      <c r="A70" s="238">
        <f t="shared" si="0"/>
        <v>46538</v>
      </c>
      <c r="B70" s="228">
        <v>61</v>
      </c>
      <c r="C70" s="239"/>
      <c r="D70" s="226">
        <f t="shared" si="1"/>
        <v>1.20698677791493E-5</v>
      </c>
      <c r="E70" s="226">
        <f t="shared" si="2"/>
        <v>-1.20698677791493E-5</v>
      </c>
      <c r="F70" s="226">
        <f t="shared" si="3"/>
        <v>-1.3287827164136185E-3</v>
      </c>
      <c r="G70" s="226"/>
      <c r="H70" s="238">
        <f t="shared" si="4"/>
        <v>46538</v>
      </c>
    </row>
    <row r="71" spans="1:8" x14ac:dyDescent="0.3">
      <c r="A71" s="238"/>
      <c r="B71" s="228"/>
      <c r="C71" s="239"/>
      <c r="D71" s="226"/>
      <c r="E71" s="226"/>
      <c r="F71" s="226"/>
      <c r="G71" s="226"/>
    </row>
    <row r="72" spans="1:8" x14ac:dyDescent="0.3">
      <c r="A72" s="238"/>
      <c r="B72" s="228"/>
      <c r="C72" s="239"/>
      <c r="D72" s="226"/>
      <c r="E72" s="226"/>
      <c r="F72" s="226"/>
      <c r="G72" s="226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B27E-30F7-4E7E-9EF8-987B92304E5B}">
  <sheetPr>
    <tabColor theme="0" tint="-0.499984740745262"/>
  </sheetPr>
  <dimension ref="A1:Q72"/>
  <sheetViews>
    <sheetView topLeftCell="A10" workbookViewId="0">
      <selection activeCell="R41" sqref="R41"/>
    </sheetView>
  </sheetViews>
  <sheetFormatPr defaultColWidth="8.88671875" defaultRowHeight="14.4" x14ac:dyDescent="0.3"/>
  <cols>
    <col min="1" max="1" width="11.5546875" style="218" bestFit="1" customWidth="1"/>
    <col min="2" max="2" width="14.109375" style="218" bestFit="1" customWidth="1"/>
    <col min="3" max="3" width="11.5546875" style="218" bestFit="1" customWidth="1"/>
    <col min="4" max="4" width="10.5546875" style="218" bestFit="1" customWidth="1"/>
    <col min="5" max="5" width="10.44140625" style="218" bestFit="1" customWidth="1"/>
    <col min="6" max="6" width="9.5546875" style="218" bestFit="1" customWidth="1"/>
    <col min="7" max="7" width="11.5546875" style="218" bestFit="1" customWidth="1"/>
    <col min="8" max="8" width="16.6640625" style="218" bestFit="1" customWidth="1"/>
    <col min="9" max="9" width="10.6640625" style="218" bestFit="1" customWidth="1"/>
    <col min="10" max="10" width="8.88671875" style="218"/>
    <col min="11" max="11" width="12.5546875" style="218" bestFit="1" customWidth="1"/>
    <col min="12" max="12" width="10.6640625" style="218" bestFit="1" customWidth="1"/>
    <col min="13" max="13" width="8.88671875" style="218"/>
    <col min="14" max="14" width="17.44140625" style="218" bestFit="1" customWidth="1"/>
    <col min="15" max="15" width="11.88671875" style="218" bestFit="1" customWidth="1"/>
    <col min="16" max="16" width="10.5546875" style="218" bestFit="1" customWidth="1"/>
    <col min="17" max="17" width="9.5546875" style="218" bestFit="1" customWidth="1"/>
    <col min="18" max="16384" width="8.88671875" style="218"/>
  </cols>
  <sheetData>
    <row r="1" spans="1:17" x14ac:dyDescent="0.3">
      <c r="A1" s="217">
        <v>126000</v>
      </c>
      <c r="E1" s="219"/>
      <c r="F1" s="219"/>
      <c r="G1" s="219"/>
      <c r="H1" s="219"/>
    </row>
    <row r="2" spans="1:17" x14ac:dyDescent="0.3">
      <c r="A2" s="218">
        <v>60</v>
      </c>
      <c r="B2" s="218" t="s">
        <v>174</v>
      </c>
      <c r="C2" s="218" t="s">
        <v>11</v>
      </c>
      <c r="D2" s="220">
        <v>2802.8</v>
      </c>
      <c r="E2" s="219"/>
      <c r="F2" s="219"/>
      <c r="G2" s="219"/>
      <c r="H2" s="219"/>
    </row>
    <row r="3" spans="1:17" x14ac:dyDescent="0.3">
      <c r="A3" s="221">
        <v>0.12</v>
      </c>
      <c r="B3" s="218" t="s">
        <v>175</v>
      </c>
      <c r="C3" s="241"/>
      <c r="E3" s="219"/>
      <c r="F3" s="219"/>
      <c r="G3" s="219"/>
      <c r="H3" s="219"/>
    </row>
    <row r="4" spans="1:17" x14ac:dyDescent="0.3">
      <c r="A4">
        <f>A3/12</f>
        <v>0.01</v>
      </c>
      <c r="B4" s="218" t="s">
        <v>176</v>
      </c>
      <c r="E4" s="219"/>
      <c r="F4" s="219"/>
      <c r="G4" s="219"/>
      <c r="H4" s="219"/>
    </row>
    <row r="5" spans="1:17" x14ac:dyDescent="0.3">
      <c r="A5" s="223"/>
      <c r="B5" s="223"/>
      <c r="C5" s="219"/>
      <c r="D5" s="219"/>
      <c r="E5" s="219"/>
      <c r="F5" s="219"/>
      <c r="G5" s="219"/>
      <c r="H5" s="219"/>
      <c r="K5" s="272" t="s">
        <v>177</v>
      </c>
      <c r="L5" s="272">
        <v>45777</v>
      </c>
      <c r="M5"/>
      <c r="N5" t="s">
        <v>178</v>
      </c>
      <c r="O5" s="11">
        <f>SUMIF(I:I,"&lt;="&amp;DATE(YEAR(L5),MONTH(L5)+12,DAY(L5)),E:E)-SUMIF(I:I,"&lt;"&amp;L5+1,E:E)</f>
        <v>4.9079157179221511E-5</v>
      </c>
      <c r="P5" s="226"/>
      <c r="Q5" s="328">
        <f>P5-O5</f>
        <v>-4.9079157179221511E-5</v>
      </c>
    </row>
    <row r="6" spans="1:17" x14ac:dyDescent="0.3">
      <c r="A6" s="223"/>
      <c r="B6" s="223"/>
      <c r="C6" s="219"/>
      <c r="D6" s="219"/>
      <c r="E6" s="219"/>
      <c r="F6" s="219"/>
      <c r="G6" s="219"/>
      <c r="H6" s="219"/>
      <c r="K6"/>
      <c r="L6"/>
      <c r="M6"/>
      <c r="N6" t="s">
        <v>179</v>
      </c>
      <c r="O6" s="273">
        <f>INDEX(C:G,MATCH(L5,I:I,0),5)-O5</f>
        <v>-4.3606231338344514E-4</v>
      </c>
      <c r="P6" s="226"/>
      <c r="Q6" s="328">
        <f>P6-O6</f>
        <v>4.3606231338344514E-4</v>
      </c>
    </row>
    <row r="7" spans="1:17" x14ac:dyDescent="0.3">
      <c r="A7" s="228"/>
      <c r="B7" s="228"/>
      <c r="C7" s="226"/>
      <c r="D7" s="226"/>
      <c r="E7" s="226"/>
      <c r="F7" s="226"/>
      <c r="G7" s="226"/>
      <c r="H7" s="226"/>
      <c r="K7"/>
      <c r="L7"/>
      <c r="M7"/>
      <c r="N7" s="12" t="s">
        <v>7</v>
      </c>
      <c r="O7" s="229">
        <f>O6+O5</f>
        <v>-3.8698315620422363E-4</v>
      </c>
    </row>
    <row r="8" spans="1:17" x14ac:dyDescent="0.3">
      <c r="A8" s="228"/>
      <c r="B8" s="228"/>
      <c r="C8" s="230" t="s">
        <v>182</v>
      </c>
      <c r="D8" s="230" t="s">
        <v>11</v>
      </c>
      <c r="E8" s="230" t="s">
        <v>38</v>
      </c>
      <c r="F8" s="230" t="s">
        <v>12</v>
      </c>
      <c r="G8" s="230" t="s">
        <v>180</v>
      </c>
      <c r="H8" s="230" t="s">
        <v>181</v>
      </c>
      <c r="I8" s="218" t="s">
        <v>8</v>
      </c>
      <c r="K8"/>
      <c r="L8"/>
      <c r="M8"/>
      <c r="N8" s="274" t="s">
        <v>37</v>
      </c>
      <c r="O8" s="232">
        <f>INDEX(C:G,MATCH(L5,I:I,0),5)-O7</f>
        <v>0</v>
      </c>
    </row>
    <row r="9" spans="1:17" x14ac:dyDescent="0.3">
      <c r="A9" s="233">
        <v>45170</v>
      </c>
      <c r="B9" s="234">
        <v>0</v>
      </c>
      <c r="C9" s="235">
        <f>A1</f>
        <v>126000</v>
      </c>
      <c r="D9" s="235"/>
      <c r="E9" s="236"/>
      <c r="F9" s="236"/>
      <c r="G9" s="236">
        <f>A1-D9</f>
        <v>126000</v>
      </c>
      <c r="H9" s="236"/>
      <c r="I9" s="233">
        <v>45170</v>
      </c>
    </row>
    <row r="10" spans="1:17" x14ac:dyDescent="0.3">
      <c r="A10" s="233">
        <v>45199</v>
      </c>
      <c r="B10" s="234">
        <v>1</v>
      </c>
      <c r="C10" s="235">
        <f>G9</f>
        <v>126000</v>
      </c>
      <c r="D10" s="237">
        <v>2802.8</v>
      </c>
      <c r="E10" s="236">
        <f>D10-F10</f>
        <v>1542.8000000000002</v>
      </c>
      <c r="F10" s="236">
        <f>(G9+H9)*(1/12)*$A$3</f>
        <v>1260</v>
      </c>
      <c r="G10" s="236">
        <f>G9-E10</f>
        <v>124457.2</v>
      </c>
      <c r="H10" s="236"/>
      <c r="I10" s="233">
        <v>45199</v>
      </c>
    </row>
    <row r="11" spans="1:17" x14ac:dyDescent="0.3">
      <c r="A11" s="233">
        <f t="shared" ref="A11:A69" si="0">EOMONTH(A10,1)</f>
        <v>45230</v>
      </c>
      <c r="B11" s="234">
        <v>2</v>
      </c>
      <c r="C11" s="235">
        <f>G10</f>
        <v>124457.2</v>
      </c>
      <c r="D11" s="237">
        <f t="shared" ref="D11:D28" si="1">$D$2</f>
        <v>2802.8</v>
      </c>
      <c r="E11" s="236">
        <f t="shared" ref="E11:E69" si="2">D11-F11</f>
        <v>1558.2280000000003</v>
      </c>
      <c r="F11" s="236">
        <f t="shared" ref="F11:F69" si="3">(G10+H10)*(1/12)*$A$3</f>
        <v>1244.5719999999999</v>
      </c>
      <c r="G11" s="236">
        <f t="shared" ref="G11:G69" si="4">G10-E11</f>
        <v>122898.97199999999</v>
      </c>
      <c r="H11" s="236"/>
      <c r="I11" s="233">
        <f t="shared" ref="I11:I69" si="5">EOMONTH(I10,1)</f>
        <v>45230</v>
      </c>
    </row>
    <row r="12" spans="1:17" x14ac:dyDescent="0.3">
      <c r="A12" s="233">
        <f t="shared" si="0"/>
        <v>45260</v>
      </c>
      <c r="B12" s="234">
        <v>3</v>
      </c>
      <c r="C12" s="235">
        <f t="shared" ref="C12:C69" si="6">G11</f>
        <v>122898.97199999999</v>
      </c>
      <c r="D12" s="237">
        <f t="shared" si="1"/>
        <v>2802.8</v>
      </c>
      <c r="E12" s="236">
        <f t="shared" si="2"/>
        <v>1573.8102800000004</v>
      </c>
      <c r="F12" s="236">
        <f t="shared" si="3"/>
        <v>1228.9897199999998</v>
      </c>
      <c r="G12" s="236">
        <f t="shared" si="4"/>
        <v>121325.16171999999</v>
      </c>
      <c r="H12" s="236"/>
      <c r="I12" s="233">
        <f t="shared" si="5"/>
        <v>45260</v>
      </c>
    </row>
    <row r="13" spans="1:17" x14ac:dyDescent="0.3">
      <c r="A13" s="233">
        <f t="shared" si="0"/>
        <v>45291</v>
      </c>
      <c r="B13" s="234">
        <v>4</v>
      </c>
      <c r="C13" s="235">
        <f t="shared" si="6"/>
        <v>121325.16171999999</v>
      </c>
      <c r="D13" s="237">
        <f t="shared" si="1"/>
        <v>2802.8</v>
      </c>
      <c r="E13" s="236">
        <f t="shared" si="2"/>
        <v>1589.5483828000006</v>
      </c>
      <c r="F13" s="236">
        <f t="shared" si="3"/>
        <v>1213.2516171999996</v>
      </c>
      <c r="G13" s="236">
        <f t="shared" si="4"/>
        <v>119735.61333719999</v>
      </c>
      <c r="H13" s="236"/>
      <c r="I13" s="233">
        <f t="shared" si="5"/>
        <v>45291</v>
      </c>
    </row>
    <row r="14" spans="1:17" ht="15.75" customHeight="1" x14ac:dyDescent="0.3">
      <c r="A14" s="233">
        <f t="shared" si="0"/>
        <v>45322</v>
      </c>
      <c r="B14" s="234">
        <v>5</v>
      </c>
      <c r="C14" s="235">
        <f t="shared" si="6"/>
        <v>119735.61333719999</v>
      </c>
      <c r="D14" s="237">
        <f t="shared" si="1"/>
        <v>2802.8</v>
      </c>
      <c r="E14" s="236">
        <f t="shared" si="2"/>
        <v>1605.4438666280003</v>
      </c>
      <c r="F14" s="236">
        <f t="shared" si="3"/>
        <v>1197.3561333719999</v>
      </c>
      <c r="G14" s="236">
        <f t="shared" si="4"/>
        <v>118130.16947057199</v>
      </c>
      <c r="H14" s="236"/>
      <c r="I14" s="233">
        <f t="shared" si="5"/>
        <v>45322</v>
      </c>
    </row>
    <row r="15" spans="1:17" x14ac:dyDescent="0.3">
      <c r="A15" s="233">
        <f t="shared" si="0"/>
        <v>45351</v>
      </c>
      <c r="B15" s="234">
        <v>6</v>
      </c>
      <c r="C15" s="235">
        <f t="shared" si="6"/>
        <v>118130.16947057199</v>
      </c>
      <c r="D15" s="237">
        <f t="shared" si="1"/>
        <v>2802.8</v>
      </c>
      <c r="E15" s="236">
        <f t="shared" si="2"/>
        <v>1621.4983052942805</v>
      </c>
      <c r="F15" s="236">
        <f t="shared" si="3"/>
        <v>1181.3016947057197</v>
      </c>
      <c r="G15" s="236">
        <f t="shared" si="4"/>
        <v>116508.6711652777</v>
      </c>
      <c r="H15" s="236"/>
      <c r="I15" s="233">
        <f t="shared" si="5"/>
        <v>45351</v>
      </c>
    </row>
    <row r="16" spans="1:17" x14ac:dyDescent="0.3">
      <c r="A16" s="233">
        <f t="shared" si="0"/>
        <v>45382</v>
      </c>
      <c r="B16" s="234">
        <v>7</v>
      </c>
      <c r="C16" s="235">
        <f>G15</f>
        <v>116508.6711652777</v>
      </c>
      <c r="D16" s="237">
        <f t="shared" si="1"/>
        <v>2802.8</v>
      </c>
      <c r="E16" s="236">
        <f t="shared" si="2"/>
        <v>1637.7132883472232</v>
      </c>
      <c r="F16" s="236">
        <f t="shared" si="3"/>
        <v>1165.086711652777</v>
      </c>
      <c r="G16" s="236">
        <f t="shared" si="4"/>
        <v>114870.95787693048</v>
      </c>
      <c r="H16" s="236"/>
      <c r="I16" s="233">
        <f t="shared" si="5"/>
        <v>45382</v>
      </c>
    </row>
    <row r="17" spans="1:12" x14ac:dyDescent="0.3">
      <c r="A17" s="233">
        <f t="shared" si="0"/>
        <v>45412</v>
      </c>
      <c r="B17" s="234">
        <v>8</v>
      </c>
      <c r="C17" s="235">
        <f t="shared" si="6"/>
        <v>114870.95787693048</v>
      </c>
      <c r="D17" s="237">
        <f t="shared" si="1"/>
        <v>2802.8</v>
      </c>
      <c r="E17" s="236">
        <f t="shared" si="2"/>
        <v>1654.0904212306955</v>
      </c>
      <c r="F17" s="236">
        <f t="shared" si="3"/>
        <v>1148.7095787693047</v>
      </c>
      <c r="G17" s="236">
        <f t="shared" si="4"/>
        <v>113216.86745569979</v>
      </c>
      <c r="H17" s="236"/>
      <c r="I17" s="233">
        <f t="shared" si="5"/>
        <v>45412</v>
      </c>
    </row>
    <row r="18" spans="1:12" x14ac:dyDescent="0.3">
      <c r="A18" s="233">
        <f t="shared" si="0"/>
        <v>45443</v>
      </c>
      <c r="B18" s="234">
        <v>9</v>
      </c>
      <c r="C18" s="235">
        <f t="shared" si="6"/>
        <v>113216.86745569979</v>
      </c>
      <c r="D18" s="237">
        <f t="shared" si="1"/>
        <v>2802.8</v>
      </c>
      <c r="E18" s="236">
        <f t="shared" si="2"/>
        <v>1670.6313254430024</v>
      </c>
      <c r="F18" s="236">
        <f t="shared" si="3"/>
        <v>1132.1686745569978</v>
      </c>
      <c r="G18" s="236">
        <f t="shared" si="4"/>
        <v>111546.23613025679</v>
      </c>
      <c r="H18" s="236"/>
      <c r="I18" s="233">
        <f t="shared" si="5"/>
        <v>45443</v>
      </c>
    </row>
    <row r="19" spans="1:12" x14ac:dyDescent="0.3">
      <c r="A19" s="233">
        <f t="shared" si="0"/>
        <v>45473</v>
      </c>
      <c r="B19" s="234">
        <v>10</v>
      </c>
      <c r="C19" s="235">
        <f t="shared" si="6"/>
        <v>111546.23613025679</v>
      </c>
      <c r="D19" s="237">
        <f t="shared" si="1"/>
        <v>2802.8</v>
      </c>
      <c r="E19" s="236">
        <f t="shared" si="2"/>
        <v>1687.3376386974323</v>
      </c>
      <c r="F19" s="236">
        <f t="shared" si="3"/>
        <v>1115.4623613025678</v>
      </c>
      <c r="G19" s="236">
        <f t="shared" si="4"/>
        <v>109858.89849155936</v>
      </c>
      <c r="H19" s="236"/>
      <c r="I19" s="233">
        <f t="shared" si="5"/>
        <v>45473</v>
      </c>
    </row>
    <row r="20" spans="1:12" x14ac:dyDescent="0.3">
      <c r="A20" s="233">
        <f t="shared" si="0"/>
        <v>45504</v>
      </c>
      <c r="B20" s="234">
        <v>11</v>
      </c>
      <c r="C20" s="235">
        <f t="shared" si="6"/>
        <v>109858.89849155936</v>
      </c>
      <c r="D20" s="237">
        <f t="shared" si="1"/>
        <v>2802.8</v>
      </c>
      <c r="E20" s="236">
        <f t="shared" si="2"/>
        <v>1704.2110150844067</v>
      </c>
      <c r="F20" s="236">
        <f t="shared" si="3"/>
        <v>1098.5889849155935</v>
      </c>
      <c r="G20" s="236">
        <f t="shared" si="4"/>
        <v>108154.68747647495</v>
      </c>
      <c r="H20" s="236"/>
      <c r="I20" s="233">
        <f t="shared" si="5"/>
        <v>45504</v>
      </c>
    </row>
    <row r="21" spans="1:12" x14ac:dyDescent="0.3">
      <c r="A21" s="233">
        <f t="shared" si="0"/>
        <v>45535</v>
      </c>
      <c r="B21" s="234">
        <v>12</v>
      </c>
      <c r="C21" s="235">
        <f t="shared" si="6"/>
        <v>108154.68747647495</v>
      </c>
      <c r="D21" s="237">
        <f t="shared" si="1"/>
        <v>2802.8</v>
      </c>
      <c r="E21" s="236">
        <f t="shared" si="2"/>
        <v>1721.2531252352508</v>
      </c>
      <c r="F21" s="236">
        <f t="shared" si="3"/>
        <v>1081.5468747647494</v>
      </c>
      <c r="G21" s="236">
        <f t="shared" si="4"/>
        <v>106433.4343512397</v>
      </c>
      <c r="H21" s="236"/>
      <c r="I21" s="233">
        <f t="shared" si="5"/>
        <v>45535</v>
      </c>
    </row>
    <row r="22" spans="1:12" x14ac:dyDescent="0.3">
      <c r="A22" s="233">
        <f t="shared" si="0"/>
        <v>45565</v>
      </c>
      <c r="B22" s="234">
        <v>13</v>
      </c>
      <c r="C22" s="235">
        <f t="shared" si="6"/>
        <v>106433.4343512397</v>
      </c>
      <c r="D22" s="237">
        <f t="shared" si="1"/>
        <v>2802.8</v>
      </c>
      <c r="E22" s="236">
        <f t="shared" si="2"/>
        <v>1738.4656564876032</v>
      </c>
      <c r="F22" s="236">
        <f t="shared" si="3"/>
        <v>1064.334343512397</v>
      </c>
      <c r="G22" s="236">
        <f t="shared" si="4"/>
        <v>104694.9686947521</v>
      </c>
      <c r="H22" s="236"/>
      <c r="I22" s="233">
        <f t="shared" si="5"/>
        <v>45565</v>
      </c>
      <c r="K22" s="275"/>
    </row>
    <row r="23" spans="1:12" x14ac:dyDescent="0.3">
      <c r="A23" s="233">
        <f t="shared" si="0"/>
        <v>45596</v>
      </c>
      <c r="B23" s="234">
        <v>14</v>
      </c>
      <c r="C23" s="235">
        <f t="shared" si="6"/>
        <v>104694.9686947521</v>
      </c>
      <c r="D23" s="237">
        <f>2853.8</f>
        <v>2853.8</v>
      </c>
      <c r="E23" s="236">
        <f t="shared" si="2"/>
        <v>1806.8503130524794</v>
      </c>
      <c r="F23" s="236">
        <f t="shared" si="3"/>
        <v>1046.9496869475208</v>
      </c>
      <c r="G23" s="236">
        <f t="shared" si="4"/>
        <v>102888.11838169962</v>
      </c>
      <c r="H23" s="236"/>
      <c r="I23" s="233">
        <f t="shared" si="5"/>
        <v>45596</v>
      </c>
    </row>
    <row r="24" spans="1:12" x14ac:dyDescent="0.3">
      <c r="A24" s="233">
        <f t="shared" si="0"/>
        <v>45626</v>
      </c>
      <c r="B24" s="234">
        <v>15</v>
      </c>
      <c r="C24" s="235">
        <f t="shared" si="6"/>
        <v>102888.11838169962</v>
      </c>
      <c r="D24" s="237">
        <f t="shared" si="1"/>
        <v>2802.8</v>
      </c>
      <c r="E24" s="236">
        <f t="shared" si="2"/>
        <v>1773.9188161830041</v>
      </c>
      <c r="F24" s="236">
        <f t="shared" si="3"/>
        <v>1028.8811838169961</v>
      </c>
      <c r="G24" s="236">
        <f t="shared" si="4"/>
        <v>101114.19956551661</v>
      </c>
      <c r="H24" s="236"/>
      <c r="I24" s="233">
        <f t="shared" si="5"/>
        <v>45626</v>
      </c>
    </row>
    <row r="25" spans="1:12" x14ac:dyDescent="0.3">
      <c r="A25" s="233">
        <f t="shared" si="0"/>
        <v>45657</v>
      </c>
      <c r="B25" s="234">
        <v>16</v>
      </c>
      <c r="C25" s="235">
        <f t="shared" si="6"/>
        <v>101114.19956551661</v>
      </c>
      <c r="D25" s="237">
        <f>$D$2</f>
        <v>2802.8</v>
      </c>
      <c r="E25" s="236">
        <f t="shared" si="2"/>
        <v>1791.6580043448344</v>
      </c>
      <c r="F25" s="236">
        <f t="shared" si="3"/>
        <v>1011.1419956551659</v>
      </c>
      <c r="G25" s="236">
        <f t="shared" si="4"/>
        <v>99322.541561171776</v>
      </c>
      <c r="H25" s="236"/>
      <c r="I25" s="233">
        <f t="shared" si="5"/>
        <v>45657</v>
      </c>
      <c r="K25" s="226"/>
    </row>
    <row r="26" spans="1:12" x14ac:dyDescent="0.3">
      <c r="A26" s="233">
        <f t="shared" si="0"/>
        <v>45688</v>
      </c>
      <c r="B26" s="234">
        <v>17</v>
      </c>
      <c r="C26" s="235">
        <f t="shared" si="6"/>
        <v>99322.541561171776</v>
      </c>
      <c r="D26" s="237">
        <f t="shared" si="1"/>
        <v>2802.8</v>
      </c>
      <c r="E26" s="236">
        <f t="shared" si="2"/>
        <v>1809.5745843882823</v>
      </c>
      <c r="F26" s="236">
        <f>(G25+H25)*(1/12)*$A$3</f>
        <v>993.22541561171772</v>
      </c>
      <c r="G26" s="236">
        <f>G25-E26</f>
        <v>97512.9669767835</v>
      </c>
      <c r="H26" s="236"/>
      <c r="I26" s="233">
        <f t="shared" si="5"/>
        <v>45688</v>
      </c>
      <c r="K26" s="226"/>
      <c r="L26" s="226"/>
    </row>
    <row r="27" spans="1:12" x14ac:dyDescent="0.3">
      <c r="A27" s="233">
        <f t="shared" si="0"/>
        <v>45716</v>
      </c>
      <c r="B27" s="234">
        <v>18</v>
      </c>
      <c r="C27" s="235">
        <f t="shared" si="6"/>
        <v>97512.9669767835</v>
      </c>
      <c r="D27" s="237">
        <f t="shared" si="1"/>
        <v>2802.8</v>
      </c>
      <c r="E27" s="236">
        <f t="shared" si="2"/>
        <v>1827.6703302321653</v>
      </c>
      <c r="F27" s="236">
        <f t="shared" si="3"/>
        <v>975.12966976783491</v>
      </c>
      <c r="G27" s="236">
        <f t="shared" si="4"/>
        <v>95685.296646551331</v>
      </c>
      <c r="H27" s="236"/>
      <c r="I27" s="233">
        <f t="shared" si="5"/>
        <v>45716</v>
      </c>
      <c r="K27" s="226">
        <f>E27-1823.59</f>
        <v>4.0803302321653518</v>
      </c>
    </row>
    <row r="28" spans="1:12" x14ac:dyDescent="0.3">
      <c r="A28" s="233">
        <f t="shared" si="0"/>
        <v>45747</v>
      </c>
      <c r="B28" s="234">
        <v>19</v>
      </c>
      <c r="C28" s="235">
        <f t="shared" si="6"/>
        <v>95685.296646551331</v>
      </c>
      <c r="D28" s="237">
        <f t="shared" si="1"/>
        <v>2802.8</v>
      </c>
      <c r="E28" s="236">
        <f t="shared" si="2"/>
        <v>1845.947033534487</v>
      </c>
      <c r="F28" s="236">
        <f t="shared" si="3"/>
        <v>956.85296646551319</v>
      </c>
      <c r="G28" s="236">
        <f t="shared" si="4"/>
        <v>93839.34961301685</v>
      </c>
      <c r="H28" s="236"/>
      <c r="I28" s="233">
        <f t="shared" si="5"/>
        <v>45747</v>
      </c>
      <c r="K28" s="226">
        <f>E28-1823.59</f>
        <v>22.357033534487073</v>
      </c>
    </row>
    <row r="29" spans="1:12" x14ac:dyDescent="0.3">
      <c r="A29" s="233">
        <f t="shared" si="0"/>
        <v>45777</v>
      </c>
      <c r="B29" s="234">
        <v>20</v>
      </c>
      <c r="C29" s="235">
        <f t="shared" si="6"/>
        <v>93839.34961301685</v>
      </c>
      <c r="D29" s="237">
        <f>47791.03+46048.32</f>
        <v>93839.35</v>
      </c>
      <c r="E29" s="236">
        <f t="shared" si="2"/>
        <v>93839.35</v>
      </c>
      <c r="F29" s="236">
        <v>0</v>
      </c>
      <c r="G29" s="236">
        <f t="shared" si="4"/>
        <v>-3.8698315620422363E-4</v>
      </c>
      <c r="H29" s="236"/>
      <c r="I29" s="233">
        <f t="shared" si="5"/>
        <v>45777</v>
      </c>
      <c r="J29" s="356" t="s">
        <v>384</v>
      </c>
      <c r="K29" s="226">
        <f>G28-D29</f>
        <v>-3.8698315620422363E-4</v>
      </c>
      <c r="L29" s="226"/>
    </row>
    <row r="30" spans="1:12" x14ac:dyDescent="0.3">
      <c r="A30" s="238">
        <f t="shared" si="0"/>
        <v>45808</v>
      </c>
      <c r="B30" s="228">
        <v>21</v>
      </c>
      <c r="C30" s="230">
        <f t="shared" si="6"/>
        <v>-3.8698315620422363E-4</v>
      </c>
      <c r="D30" s="239"/>
      <c r="E30" s="226">
        <f t="shared" si="2"/>
        <v>3.8698315620422362E-6</v>
      </c>
      <c r="F30" s="226">
        <f t="shared" si="3"/>
        <v>-3.8698315620422362E-6</v>
      </c>
      <c r="G30" s="226">
        <f t="shared" si="4"/>
        <v>-3.9085298776626588E-4</v>
      </c>
      <c r="H30" s="226"/>
      <c r="I30" s="238">
        <f t="shared" si="5"/>
        <v>45808</v>
      </c>
    </row>
    <row r="31" spans="1:12" x14ac:dyDescent="0.3">
      <c r="A31" s="238">
        <f t="shared" si="0"/>
        <v>45838</v>
      </c>
      <c r="B31" s="228">
        <v>22</v>
      </c>
      <c r="C31" s="230">
        <f t="shared" si="6"/>
        <v>-3.9085298776626588E-4</v>
      </c>
      <c r="D31" s="239"/>
      <c r="E31" s="226">
        <f t="shared" si="2"/>
        <v>3.9085298776626591E-6</v>
      </c>
      <c r="F31" s="226">
        <f t="shared" si="3"/>
        <v>-3.9085298776626591E-6</v>
      </c>
      <c r="G31" s="226">
        <f t="shared" si="4"/>
        <v>-3.9476151764392852E-4</v>
      </c>
      <c r="H31" s="226"/>
      <c r="I31" s="238">
        <f t="shared" si="5"/>
        <v>45838</v>
      </c>
    </row>
    <row r="32" spans="1:12" x14ac:dyDescent="0.3">
      <c r="A32" s="238">
        <f t="shared" si="0"/>
        <v>45869</v>
      </c>
      <c r="B32" s="228">
        <v>23</v>
      </c>
      <c r="C32" s="230">
        <f t="shared" si="6"/>
        <v>-3.9476151764392852E-4</v>
      </c>
      <c r="D32" s="239"/>
      <c r="E32" s="226">
        <f t="shared" si="2"/>
        <v>3.947615176439285E-6</v>
      </c>
      <c r="F32" s="226">
        <f t="shared" si="3"/>
        <v>-3.947615176439285E-6</v>
      </c>
      <c r="G32" s="226">
        <f t="shared" si="4"/>
        <v>-3.9870913282036779E-4</v>
      </c>
      <c r="H32" s="226"/>
      <c r="I32" s="238">
        <f t="shared" si="5"/>
        <v>45869</v>
      </c>
    </row>
    <row r="33" spans="1:9" x14ac:dyDescent="0.3">
      <c r="A33" s="238">
        <f t="shared" si="0"/>
        <v>45900</v>
      </c>
      <c r="B33" s="228">
        <v>24</v>
      </c>
      <c r="C33" s="230">
        <f t="shared" si="6"/>
        <v>-3.9870913282036779E-4</v>
      </c>
      <c r="D33" s="239"/>
      <c r="E33" s="226">
        <f t="shared" si="2"/>
        <v>3.9870913282036769E-6</v>
      </c>
      <c r="F33" s="226">
        <f t="shared" si="3"/>
        <v>-3.9870913282036769E-6</v>
      </c>
      <c r="G33" s="226">
        <f t="shared" si="4"/>
        <v>-4.0269622414857147E-4</v>
      </c>
      <c r="H33" s="226"/>
      <c r="I33" s="238">
        <f t="shared" si="5"/>
        <v>45900</v>
      </c>
    </row>
    <row r="34" spans="1:9" x14ac:dyDescent="0.3">
      <c r="A34" s="238">
        <f t="shared" si="0"/>
        <v>45930</v>
      </c>
      <c r="B34" s="228">
        <v>25</v>
      </c>
      <c r="C34" s="230">
        <f t="shared" si="6"/>
        <v>-4.0269622414857147E-4</v>
      </c>
      <c r="D34" s="239"/>
      <c r="E34" s="226">
        <f t="shared" si="2"/>
        <v>4.0269622414857144E-6</v>
      </c>
      <c r="F34" s="226">
        <f t="shared" si="3"/>
        <v>-4.0269622414857144E-6</v>
      </c>
      <c r="G34" s="226">
        <f t="shared" si="4"/>
        <v>-4.067231863900572E-4</v>
      </c>
      <c r="H34" s="226"/>
      <c r="I34" s="238">
        <f t="shared" si="5"/>
        <v>45930</v>
      </c>
    </row>
    <row r="35" spans="1:9" x14ac:dyDescent="0.3">
      <c r="A35" s="238">
        <f t="shared" si="0"/>
        <v>45961</v>
      </c>
      <c r="B35" s="228">
        <v>26</v>
      </c>
      <c r="C35" s="230">
        <f t="shared" si="6"/>
        <v>-4.067231863900572E-4</v>
      </c>
      <c r="D35" s="239"/>
      <c r="E35" s="226">
        <f t="shared" si="2"/>
        <v>4.0672318639005721E-6</v>
      </c>
      <c r="F35" s="226">
        <f t="shared" si="3"/>
        <v>-4.0672318639005721E-6</v>
      </c>
      <c r="G35" s="226">
        <f t="shared" si="4"/>
        <v>-4.107904182539578E-4</v>
      </c>
      <c r="H35" s="226"/>
      <c r="I35" s="238">
        <f t="shared" si="5"/>
        <v>45961</v>
      </c>
    </row>
    <row r="36" spans="1:9" x14ac:dyDescent="0.3">
      <c r="A36" s="238">
        <f t="shared" si="0"/>
        <v>45991</v>
      </c>
      <c r="B36" s="228">
        <v>27</v>
      </c>
      <c r="C36" s="230">
        <f t="shared" si="6"/>
        <v>-4.107904182539578E-4</v>
      </c>
      <c r="D36" s="239"/>
      <c r="E36" s="226">
        <f t="shared" si="2"/>
        <v>4.1079041825395772E-6</v>
      </c>
      <c r="F36" s="226">
        <f t="shared" si="3"/>
        <v>-4.1079041825395772E-6</v>
      </c>
      <c r="G36" s="226">
        <f t="shared" si="4"/>
        <v>-4.1489832243649739E-4</v>
      </c>
      <c r="H36" s="226"/>
      <c r="I36" s="238">
        <f t="shared" si="5"/>
        <v>45991</v>
      </c>
    </row>
    <row r="37" spans="1:9" x14ac:dyDescent="0.3">
      <c r="A37" s="238">
        <f t="shared" si="0"/>
        <v>46022</v>
      </c>
      <c r="B37" s="228">
        <v>28</v>
      </c>
      <c r="C37" s="230">
        <f t="shared" si="6"/>
        <v>-4.1489832243649739E-4</v>
      </c>
      <c r="D37" s="239"/>
      <c r="E37" s="226">
        <f t="shared" si="2"/>
        <v>4.1489832243649735E-6</v>
      </c>
      <c r="F37" s="226">
        <f t="shared" si="3"/>
        <v>-4.1489832243649735E-6</v>
      </c>
      <c r="G37" s="226">
        <f t="shared" si="4"/>
        <v>-4.1904730566086237E-4</v>
      </c>
      <c r="H37" s="226"/>
      <c r="I37" s="238">
        <f t="shared" si="5"/>
        <v>46022</v>
      </c>
    </row>
    <row r="38" spans="1:9" x14ac:dyDescent="0.3">
      <c r="A38" s="238">
        <f t="shared" si="0"/>
        <v>46053</v>
      </c>
      <c r="B38" s="228">
        <v>29</v>
      </c>
      <c r="C38" s="230">
        <f t="shared" si="6"/>
        <v>-4.1904730566086237E-4</v>
      </c>
      <c r="D38" s="239"/>
      <c r="E38" s="226">
        <f t="shared" si="2"/>
        <v>4.1904730566086233E-6</v>
      </c>
      <c r="F38" s="226">
        <f t="shared" si="3"/>
        <v>-4.1904730566086233E-6</v>
      </c>
      <c r="G38" s="226">
        <f t="shared" si="4"/>
        <v>-4.2323777871747101E-4</v>
      </c>
      <c r="H38" s="226"/>
      <c r="I38" s="238">
        <f t="shared" si="5"/>
        <v>46053</v>
      </c>
    </row>
    <row r="39" spans="1:9" x14ac:dyDescent="0.3">
      <c r="A39" s="238">
        <f t="shared" si="0"/>
        <v>46081</v>
      </c>
      <c r="B39" s="228">
        <v>30</v>
      </c>
      <c r="C39" s="230">
        <f t="shared" si="6"/>
        <v>-4.2323777871747101E-4</v>
      </c>
      <c r="D39" s="239"/>
      <c r="E39" s="226">
        <f t="shared" si="2"/>
        <v>4.2323777871747094E-6</v>
      </c>
      <c r="F39" s="226">
        <f t="shared" si="3"/>
        <v>-4.2323777871747094E-6</v>
      </c>
      <c r="G39" s="226">
        <f t="shared" si="4"/>
        <v>-4.2747015650464572E-4</v>
      </c>
      <c r="H39" s="226"/>
      <c r="I39" s="238">
        <f t="shared" si="5"/>
        <v>46081</v>
      </c>
    </row>
    <row r="40" spans="1:9" x14ac:dyDescent="0.3">
      <c r="A40" s="238">
        <f t="shared" si="0"/>
        <v>46112</v>
      </c>
      <c r="B40" s="228">
        <v>31</v>
      </c>
      <c r="C40" s="230">
        <f t="shared" si="6"/>
        <v>-4.2747015650464572E-4</v>
      </c>
      <c r="D40" s="239"/>
      <c r="E40" s="226">
        <f t="shared" si="2"/>
        <v>4.2747015650464568E-6</v>
      </c>
      <c r="F40" s="226">
        <f t="shared" si="3"/>
        <v>-4.2747015650464568E-6</v>
      </c>
      <c r="G40" s="226">
        <f t="shared" si="4"/>
        <v>-4.317448580696922E-4</v>
      </c>
      <c r="H40" s="226"/>
      <c r="I40" s="238">
        <f t="shared" si="5"/>
        <v>46112</v>
      </c>
    </row>
    <row r="41" spans="1:9" x14ac:dyDescent="0.3">
      <c r="A41" s="238">
        <f t="shared" si="0"/>
        <v>46142</v>
      </c>
      <c r="B41" s="228">
        <v>32</v>
      </c>
      <c r="C41" s="230">
        <f t="shared" si="6"/>
        <v>-4.317448580696922E-4</v>
      </c>
      <c r="D41" s="239"/>
      <c r="E41" s="226">
        <f t="shared" si="2"/>
        <v>4.3174485806969209E-6</v>
      </c>
      <c r="F41" s="226">
        <f t="shared" si="3"/>
        <v>-4.3174485806969209E-6</v>
      </c>
      <c r="G41" s="226">
        <f t="shared" si="4"/>
        <v>-4.3606230665038914E-4</v>
      </c>
      <c r="H41" s="226"/>
      <c r="I41" s="238">
        <f t="shared" si="5"/>
        <v>46142</v>
      </c>
    </row>
    <row r="42" spans="1:9" x14ac:dyDescent="0.3">
      <c r="A42" s="238">
        <f t="shared" si="0"/>
        <v>46173</v>
      </c>
      <c r="B42" s="228">
        <v>33</v>
      </c>
      <c r="C42" s="230">
        <f t="shared" si="6"/>
        <v>-4.3606230665038914E-4</v>
      </c>
      <c r="D42" s="239"/>
      <c r="E42" s="226">
        <f t="shared" si="2"/>
        <v>4.3606230665038913E-6</v>
      </c>
      <c r="F42" s="226">
        <f t="shared" si="3"/>
        <v>-4.3606230665038913E-6</v>
      </c>
      <c r="G42" s="226">
        <f t="shared" si="4"/>
        <v>-4.4042292971689304E-4</v>
      </c>
      <c r="H42" s="226"/>
      <c r="I42" s="238">
        <f t="shared" si="5"/>
        <v>46173</v>
      </c>
    </row>
    <row r="43" spans="1:9" x14ac:dyDescent="0.3">
      <c r="A43" s="238">
        <f t="shared" si="0"/>
        <v>46203</v>
      </c>
      <c r="B43" s="228">
        <v>34</v>
      </c>
      <c r="C43" s="230">
        <f t="shared" si="6"/>
        <v>-4.4042292971689304E-4</v>
      </c>
      <c r="D43" s="239"/>
      <c r="E43" s="226">
        <f t="shared" si="2"/>
        <v>4.4042292971689297E-6</v>
      </c>
      <c r="F43" s="226">
        <f t="shared" si="3"/>
        <v>-4.4042292971689297E-6</v>
      </c>
      <c r="G43" s="226">
        <f t="shared" si="4"/>
        <v>-4.4482715901406197E-4</v>
      </c>
      <c r="H43" s="226"/>
      <c r="I43" s="238">
        <f t="shared" si="5"/>
        <v>46203</v>
      </c>
    </row>
    <row r="44" spans="1:9" x14ac:dyDescent="0.3">
      <c r="A44" s="238">
        <f t="shared" si="0"/>
        <v>46234</v>
      </c>
      <c r="B44" s="228">
        <v>35</v>
      </c>
      <c r="C44" s="230">
        <f t="shared" si="6"/>
        <v>-4.4482715901406197E-4</v>
      </c>
      <c r="D44" s="239"/>
      <c r="E44" s="226">
        <f t="shared" si="2"/>
        <v>4.4482715901406192E-6</v>
      </c>
      <c r="F44" s="226">
        <f t="shared" si="3"/>
        <v>-4.4482715901406192E-6</v>
      </c>
      <c r="G44" s="226">
        <f t="shared" si="4"/>
        <v>-4.4927543060420259E-4</v>
      </c>
      <c r="H44" s="226"/>
      <c r="I44" s="238">
        <f t="shared" si="5"/>
        <v>46234</v>
      </c>
    </row>
    <row r="45" spans="1:9" x14ac:dyDescent="0.3">
      <c r="A45" s="238">
        <f t="shared" si="0"/>
        <v>46265</v>
      </c>
      <c r="B45" s="228">
        <v>36</v>
      </c>
      <c r="C45" s="230">
        <f t="shared" si="6"/>
        <v>-4.4927543060420259E-4</v>
      </c>
      <c r="D45" s="239"/>
      <c r="E45" s="226">
        <f t="shared" si="2"/>
        <v>4.4927543060420252E-6</v>
      </c>
      <c r="F45" s="226">
        <f t="shared" si="3"/>
        <v>-4.4927543060420252E-6</v>
      </c>
      <c r="G45" s="226">
        <f t="shared" si="4"/>
        <v>-4.5376818491024462E-4</v>
      </c>
      <c r="H45" s="226"/>
      <c r="I45" s="238">
        <f t="shared" si="5"/>
        <v>46265</v>
      </c>
    </row>
    <row r="46" spans="1:9" x14ac:dyDescent="0.3">
      <c r="A46" s="238">
        <f t="shared" si="0"/>
        <v>46295</v>
      </c>
      <c r="B46" s="228">
        <v>37</v>
      </c>
      <c r="C46" s="230">
        <f t="shared" si="6"/>
        <v>-4.5376818491024462E-4</v>
      </c>
      <c r="D46" s="239"/>
      <c r="E46" s="226">
        <f t="shared" si="2"/>
        <v>4.5376818491024456E-6</v>
      </c>
      <c r="F46" s="226">
        <f t="shared" si="3"/>
        <v>-4.5376818491024456E-6</v>
      </c>
      <c r="G46" s="226">
        <f t="shared" si="4"/>
        <v>-4.5830586675934707E-4</v>
      </c>
      <c r="H46" s="226"/>
      <c r="I46" s="238">
        <f t="shared" si="5"/>
        <v>46295</v>
      </c>
    </row>
    <row r="47" spans="1:9" x14ac:dyDescent="0.3">
      <c r="A47" s="238">
        <f t="shared" si="0"/>
        <v>46326</v>
      </c>
      <c r="B47" s="228">
        <v>38</v>
      </c>
      <c r="C47" s="230">
        <f t="shared" si="6"/>
        <v>-4.5830586675934707E-4</v>
      </c>
      <c r="D47" s="239"/>
      <c r="E47" s="226">
        <f t="shared" si="2"/>
        <v>4.5830586675934706E-6</v>
      </c>
      <c r="F47" s="226">
        <f t="shared" si="3"/>
        <v>-4.5830586675934706E-6</v>
      </c>
      <c r="G47" s="226">
        <f t="shared" si="4"/>
        <v>-4.6288892542694054E-4</v>
      </c>
      <c r="H47" s="226"/>
      <c r="I47" s="238">
        <f t="shared" si="5"/>
        <v>46326</v>
      </c>
    </row>
    <row r="48" spans="1:9" x14ac:dyDescent="0.3">
      <c r="A48" s="238">
        <f t="shared" si="0"/>
        <v>46356</v>
      </c>
      <c r="B48" s="228">
        <v>39</v>
      </c>
      <c r="C48" s="230">
        <f t="shared" si="6"/>
        <v>-4.6288892542694054E-4</v>
      </c>
      <c r="D48" s="239"/>
      <c r="E48" s="226">
        <f t="shared" si="2"/>
        <v>4.6288892542694048E-6</v>
      </c>
      <c r="F48" s="226">
        <f t="shared" si="3"/>
        <v>-4.6288892542694048E-6</v>
      </c>
      <c r="G48" s="226">
        <f t="shared" si="4"/>
        <v>-4.6751781468120995E-4</v>
      </c>
      <c r="H48" s="226"/>
      <c r="I48" s="238">
        <f t="shared" si="5"/>
        <v>46356</v>
      </c>
    </row>
    <row r="49" spans="1:9" x14ac:dyDescent="0.3">
      <c r="A49" s="238">
        <f t="shared" si="0"/>
        <v>46387</v>
      </c>
      <c r="B49" s="228">
        <v>40</v>
      </c>
      <c r="C49" s="230">
        <f t="shared" si="6"/>
        <v>-4.6751781468120995E-4</v>
      </c>
      <c r="D49" s="239"/>
      <c r="E49" s="226">
        <f t="shared" si="2"/>
        <v>4.6751781468120986E-6</v>
      </c>
      <c r="F49" s="226">
        <f t="shared" si="3"/>
        <v>-4.6751781468120986E-6</v>
      </c>
      <c r="G49" s="226">
        <f t="shared" si="4"/>
        <v>-4.7219299282802202E-4</v>
      </c>
      <c r="H49" s="226"/>
      <c r="I49" s="238">
        <f t="shared" si="5"/>
        <v>46387</v>
      </c>
    </row>
    <row r="50" spans="1:9" x14ac:dyDescent="0.3">
      <c r="A50" s="238">
        <f t="shared" si="0"/>
        <v>46418</v>
      </c>
      <c r="B50" s="228">
        <v>41</v>
      </c>
      <c r="C50" s="230">
        <f t="shared" si="6"/>
        <v>-4.7219299282802202E-4</v>
      </c>
      <c r="D50" s="239"/>
      <c r="E50" s="226">
        <f t="shared" si="2"/>
        <v>4.7219299282802203E-6</v>
      </c>
      <c r="F50" s="226">
        <f t="shared" si="3"/>
        <v>-4.7219299282802203E-6</v>
      </c>
      <c r="G50" s="226">
        <f t="shared" si="4"/>
        <v>-4.7691492275630224E-4</v>
      </c>
      <c r="H50" s="226"/>
      <c r="I50" s="238">
        <f t="shared" si="5"/>
        <v>46418</v>
      </c>
    </row>
    <row r="51" spans="1:9" x14ac:dyDescent="0.3">
      <c r="A51" s="238">
        <f t="shared" si="0"/>
        <v>46446</v>
      </c>
      <c r="B51" s="228">
        <v>42</v>
      </c>
      <c r="C51" s="230">
        <f t="shared" si="6"/>
        <v>-4.7691492275630224E-4</v>
      </c>
      <c r="D51" s="239"/>
      <c r="E51" s="226">
        <f t="shared" si="2"/>
        <v>4.7691492275630217E-6</v>
      </c>
      <c r="F51" s="226">
        <f t="shared" si="3"/>
        <v>-4.7691492275630217E-6</v>
      </c>
      <c r="G51" s="226">
        <f t="shared" si="4"/>
        <v>-4.8168407198386528E-4</v>
      </c>
      <c r="H51" s="226"/>
      <c r="I51" s="238">
        <f t="shared" si="5"/>
        <v>46446</v>
      </c>
    </row>
    <row r="52" spans="1:9" x14ac:dyDescent="0.3">
      <c r="A52" s="238">
        <f t="shared" si="0"/>
        <v>46477</v>
      </c>
      <c r="B52" s="228">
        <v>43</v>
      </c>
      <c r="C52" s="230">
        <f t="shared" si="6"/>
        <v>-4.8168407198386528E-4</v>
      </c>
      <c r="D52" s="239"/>
      <c r="E52" s="226">
        <f t="shared" si="2"/>
        <v>4.8168407198386518E-6</v>
      </c>
      <c r="F52" s="226">
        <f t="shared" si="3"/>
        <v>-4.8168407198386518E-6</v>
      </c>
      <c r="G52" s="226">
        <f t="shared" si="4"/>
        <v>-4.8650091270370391E-4</v>
      </c>
      <c r="H52" s="226"/>
      <c r="I52" s="238">
        <f t="shared" si="5"/>
        <v>46477</v>
      </c>
    </row>
    <row r="53" spans="1:9" x14ac:dyDescent="0.3">
      <c r="A53" s="238">
        <f t="shared" si="0"/>
        <v>46507</v>
      </c>
      <c r="B53" s="228">
        <v>44</v>
      </c>
      <c r="C53" s="230">
        <f t="shared" si="6"/>
        <v>-4.8650091270370391E-4</v>
      </c>
      <c r="D53" s="239"/>
      <c r="E53" s="226">
        <f t="shared" si="2"/>
        <v>4.865009127037038E-6</v>
      </c>
      <c r="F53" s="226">
        <f t="shared" si="3"/>
        <v>-4.865009127037038E-6</v>
      </c>
      <c r="G53" s="226">
        <f t="shared" si="4"/>
        <v>-4.9136592183074098E-4</v>
      </c>
      <c r="H53" s="226"/>
      <c r="I53" s="238">
        <f t="shared" si="5"/>
        <v>46507</v>
      </c>
    </row>
    <row r="54" spans="1:9" x14ac:dyDescent="0.3">
      <c r="A54" s="238">
        <f t="shared" si="0"/>
        <v>46538</v>
      </c>
      <c r="B54" s="228">
        <v>45</v>
      </c>
      <c r="C54" s="230">
        <f t="shared" si="6"/>
        <v>-4.9136592183074098E-4</v>
      </c>
      <c r="D54" s="239"/>
      <c r="E54" s="226">
        <f t="shared" si="2"/>
        <v>4.9136592183074087E-6</v>
      </c>
      <c r="F54" s="226">
        <f t="shared" si="3"/>
        <v>-4.9136592183074087E-6</v>
      </c>
      <c r="G54" s="226">
        <f t="shared" si="4"/>
        <v>-4.9627958104904836E-4</v>
      </c>
      <c r="H54" s="226"/>
      <c r="I54" s="238">
        <f t="shared" si="5"/>
        <v>46538</v>
      </c>
    </row>
    <row r="55" spans="1:9" x14ac:dyDescent="0.3">
      <c r="A55" s="238">
        <f t="shared" si="0"/>
        <v>46568</v>
      </c>
      <c r="B55" s="228">
        <v>46</v>
      </c>
      <c r="C55" s="230">
        <f t="shared" si="6"/>
        <v>-4.9627958104904836E-4</v>
      </c>
      <c r="D55" s="239"/>
      <c r="E55" s="226">
        <f t="shared" si="2"/>
        <v>4.9627958104904829E-6</v>
      </c>
      <c r="F55" s="226">
        <f t="shared" si="3"/>
        <v>-4.9627958104904829E-6</v>
      </c>
      <c r="G55" s="226">
        <f t="shared" si="4"/>
        <v>-5.0124237685953885E-4</v>
      </c>
      <c r="H55" s="226"/>
      <c r="I55" s="238">
        <f t="shared" si="5"/>
        <v>46568</v>
      </c>
    </row>
    <row r="56" spans="1:9" x14ac:dyDescent="0.3">
      <c r="A56" s="238">
        <f t="shared" si="0"/>
        <v>46599</v>
      </c>
      <c r="B56" s="228">
        <v>47</v>
      </c>
      <c r="C56" s="230">
        <f t="shared" si="6"/>
        <v>-5.0124237685953885E-4</v>
      </c>
      <c r="D56" s="239"/>
      <c r="E56" s="226">
        <f t="shared" si="2"/>
        <v>5.0124237685953874E-6</v>
      </c>
      <c r="F56" s="226">
        <f t="shared" si="3"/>
        <v>-5.0124237685953874E-6</v>
      </c>
      <c r="G56" s="226">
        <f t="shared" si="4"/>
        <v>-5.0625480062813425E-4</v>
      </c>
      <c r="H56" s="226"/>
      <c r="I56" s="238">
        <f t="shared" si="5"/>
        <v>46599</v>
      </c>
    </row>
    <row r="57" spans="1:9" x14ac:dyDescent="0.3">
      <c r="A57" s="238">
        <f t="shared" si="0"/>
        <v>46630</v>
      </c>
      <c r="B57" s="228">
        <v>48</v>
      </c>
      <c r="C57" s="230">
        <f t="shared" si="6"/>
        <v>-5.0625480062813425E-4</v>
      </c>
      <c r="D57" s="239"/>
      <c r="E57" s="226">
        <f t="shared" si="2"/>
        <v>5.0625480062813421E-6</v>
      </c>
      <c r="F57" s="226">
        <f t="shared" si="3"/>
        <v>-5.0625480062813421E-6</v>
      </c>
      <c r="G57" s="226">
        <f t="shared" si="4"/>
        <v>-5.1131734863441556E-4</v>
      </c>
      <c r="H57" s="226"/>
      <c r="I57" s="238">
        <f t="shared" si="5"/>
        <v>46630</v>
      </c>
    </row>
    <row r="58" spans="1:9" x14ac:dyDescent="0.3">
      <c r="A58" s="238">
        <f t="shared" si="0"/>
        <v>46660</v>
      </c>
      <c r="B58" s="228">
        <v>49</v>
      </c>
      <c r="C58" s="230">
        <f t="shared" si="6"/>
        <v>-5.1131734863441556E-4</v>
      </c>
      <c r="D58" s="239"/>
      <c r="E58" s="226">
        <f t="shared" si="2"/>
        <v>5.1131734863441556E-6</v>
      </c>
      <c r="F58" s="226">
        <f t="shared" si="3"/>
        <v>-5.1131734863441556E-6</v>
      </c>
      <c r="G58" s="226">
        <f t="shared" si="4"/>
        <v>-5.1643052212075973E-4</v>
      </c>
      <c r="H58" s="226"/>
      <c r="I58" s="238">
        <f t="shared" si="5"/>
        <v>46660</v>
      </c>
    </row>
    <row r="59" spans="1:9" x14ac:dyDescent="0.3">
      <c r="A59" s="238">
        <f t="shared" si="0"/>
        <v>46691</v>
      </c>
      <c r="B59" s="228">
        <v>50</v>
      </c>
      <c r="C59" s="230">
        <f t="shared" si="6"/>
        <v>-5.1643052212075973E-4</v>
      </c>
      <c r="D59" s="239"/>
      <c r="E59" s="226">
        <f t="shared" si="2"/>
        <v>5.1643052212075968E-6</v>
      </c>
      <c r="F59" s="226">
        <f t="shared" si="3"/>
        <v>-5.1643052212075968E-6</v>
      </c>
      <c r="G59" s="226">
        <f t="shared" si="4"/>
        <v>-5.215948273419673E-4</v>
      </c>
      <c r="H59" s="226"/>
      <c r="I59" s="238">
        <f t="shared" si="5"/>
        <v>46691</v>
      </c>
    </row>
    <row r="60" spans="1:9" x14ac:dyDescent="0.3">
      <c r="A60" s="238">
        <f t="shared" si="0"/>
        <v>46721</v>
      </c>
      <c r="B60" s="228">
        <v>51</v>
      </c>
      <c r="C60" s="230">
        <f t="shared" si="6"/>
        <v>-5.215948273419673E-4</v>
      </c>
      <c r="D60" s="239"/>
      <c r="E60" s="226">
        <f t="shared" si="2"/>
        <v>5.2159482734196722E-6</v>
      </c>
      <c r="F60" s="226">
        <f t="shared" si="3"/>
        <v>-5.2159482734196722E-6</v>
      </c>
      <c r="G60" s="226">
        <f t="shared" si="4"/>
        <v>-5.2681077561538697E-4</v>
      </c>
      <c r="H60" s="226"/>
      <c r="I60" s="238">
        <f t="shared" si="5"/>
        <v>46721</v>
      </c>
    </row>
    <row r="61" spans="1:9" x14ac:dyDescent="0.3">
      <c r="A61" s="238">
        <f t="shared" si="0"/>
        <v>46752</v>
      </c>
      <c r="B61" s="228">
        <v>52</v>
      </c>
      <c r="C61" s="230">
        <f t="shared" si="6"/>
        <v>-5.2681077561538697E-4</v>
      </c>
      <c r="D61" s="239"/>
      <c r="E61" s="226">
        <f t="shared" si="2"/>
        <v>5.2681077561538688E-6</v>
      </c>
      <c r="F61" s="226">
        <f t="shared" si="3"/>
        <v>-5.2681077561538688E-6</v>
      </c>
      <c r="G61" s="226">
        <f t="shared" si="4"/>
        <v>-5.320788833715408E-4</v>
      </c>
      <c r="H61" s="226"/>
      <c r="I61" s="238">
        <f t="shared" si="5"/>
        <v>46752</v>
      </c>
    </row>
    <row r="62" spans="1:9" x14ac:dyDescent="0.3">
      <c r="A62" s="238">
        <f t="shared" si="0"/>
        <v>46783</v>
      </c>
      <c r="B62" s="228">
        <v>53</v>
      </c>
      <c r="C62" s="230">
        <f t="shared" si="6"/>
        <v>-5.320788833715408E-4</v>
      </c>
      <c r="D62" s="239"/>
      <c r="E62" s="226">
        <f t="shared" si="2"/>
        <v>5.3207888337154078E-6</v>
      </c>
      <c r="F62" s="226">
        <f t="shared" si="3"/>
        <v>-5.3207888337154078E-6</v>
      </c>
      <c r="G62" s="226">
        <f t="shared" si="4"/>
        <v>-5.3739967220525623E-4</v>
      </c>
      <c r="H62" s="226"/>
      <c r="I62" s="238">
        <f t="shared" si="5"/>
        <v>46783</v>
      </c>
    </row>
    <row r="63" spans="1:9" x14ac:dyDescent="0.3">
      <c r="A63" s="238">
        <f t="shared" si="0"/>
        <v>46812</v>
      </c>
      <c r="B63" s="228">
        <v>54</v>
      </c>
      <c r="C63" s="230">
        <f t="shared" si="6"/>
        <v>-5.3739967220525623E-4</v>
      </c>
      <c r="D63" s="239"/>
      <c r="E63" s="226">
        <f t="shared" si="2"/>
        <v>5.3739967220525621E-6</v>
      </c>
      <c r="F63" s="226">
        <f t="shared" si="3"/>
        <v>-5.3739967220525621E-6</v>
      </c>
      <c r="G63" s="226">
        <f t="shared" si="4"/>
        <v>-5.4277366892730881E-4</v>
      </c>
      <c r="H63" s="226"/>
      <c r="I63" s="238">
        <f t="shared" si="5"/>
        <v>46812</v>
      </c>
    </row>
    <row r="64" spans="1:9" x14ac:dyDescent="0.3">
      <c r="A64" s="238">
        <f t="shared" si="0"/>
        <v>46843</v>
      </c>
      <c r="B64" s="228">
        <v>55</v>
      </c>
      <c r="C64" s="230">
        <f t="shared" si="6"/>
        <v>-5.4277366892730881E-4</v>
      </c>
      <c r="D64" s="239"/>
      <c r="E64" s="226">
        <f t="shared" si="2"/>
        <v>5.4277366892730878E-6</v>
      </c>
      <c r="F64" s="226">
        <f t="shared" si="3"/>
        <v>-5.4277366892730878E-6</v>
      </c>
      <c r="G64" s="226">
        <f t="shared" si="4"/>
        <v>-5.4820140561658189E-4</v>
      </c>
      <c r="H64" s="226"/>
      <c r="I64" s="238">
        <f t="shared" si="5"/>
        <v>46843</v>
      </c>
    </row>
    <row r="65" spans="1:9" x14ac:dyDescent="0.3">
      <c r="A65" s="238">
        <f t="shared" si="0"/>
        <v>46873</v>
      </c>
      <c r="B65" s="228">
        <v>56</v>
      </c>
      <c r="C65" s="230">
        <f t="shared" si="6"/>
        <v>-5.4820140561658189E-4</v>
      </c>
      <c r="D65" s="239"/>
      <c r="E65" s="226">
        <f t="shared" si="2"/>
        <v>5.4820140561658181E-6</v>
      </c>
      <c r="F65" s="226">
        <f t="shared" si="3"/>
        <v>-5.4820140561658181E-6</v>
      </c>
      <c r="G65" s="226">
        <f t="shared" si="4"/>
        <v>-5.5368341967274774E-4</v>
      </c>
      <c r="H65" s="226"/>
      <c r="I65" s="238">
        <f t="shared" si="5"/>
        <v>46873</v>
      </c>
    </row>
    <row r="66" spans="1:9" x14ac:dyDescent="0.3">
      <c r="A66" s="238">
        <f t="shared" si="0"/>
        <v>46904</v>
      </c>
      <c r="B66" s="228">
        <v>57</v>
      </c>
      <c r="C66" s="230">
        <f t="shared" si="6"/>
        <v>-5.5368341967274774E-4</v>
      </c>
      <c r="D66" s="239"/>
      <c r="E66" s="226">
        <f t="shared" si="2"/>
        <v>5.5368341967274768E-6</v>
      </c>
      <c r="F66" s="226">
        <f t="shared" si="3"/>
        <v>-5.5368341967274768E-6</v>
      </c>
      <c r="G66" s="226">
        <f t="shared" si="4"/>
        <v>-5.5922025386947517E-4</v>
      </c>
      <c r="H66" s="226"/>
      <c r="I66" s="238">
        <f t="shared" si="5"/>
        <v>46904</v>
      </c>
    </row>
    <row r="67" spans="1:9" x14ac:dyDescent="0.3">
      <c r="A67" s="238">
        <f t="shared" si="0"/>
        <v>46934</v>
      </c>
      <c r="B67" s="228">
        <v>58</v>
      </c>
      <c r="C67" s="230">
        <f t="shared" si="6"/>
        <v>-5.5922025386947517E-4</v>
      </c>
      <c r="D67" s="239"/>
      <c r="E67" s="226">
        <f t="shared" si="2"/>
        <v>5.5922025386947509E-6</v>
      </c>
      <c r="F67" s="226">
        <f t="shared" si="3"/>
        <v>-5.5922025386947509E-6</v>
      </c>
      <c r="G67" s="226">
        <f t="shared" si="4"/>
        <v>-5.6481245640816987E-4</v>
      </c>
      <c r="H67" s="226"/>
      <c r="I67" s="238">
        <f t="shared" si="5"/>
        <v>46934</v>
      </c>
    </row>
    <row r="68" spans="1:9" x14ac:dyDescent="0.3">
      <c r="A68" s="238">
        <f t="shared" si="0"/>
        <v>46965</v>
      </c>
      <c r="B68" s="228">
        <v>59</v>
      </c>
      <c r="C68" s="230">
        <f t="shared" si="6"/>
        <v>-5.6481245640816987E-4</v>
      </c>
      <c r="D68" s="239"/>
      <c r="E68" s="226">
        <f t="shared" si="2"/>
        <v>5.6481245640816979E-6</v>
      </c>
      <c r="F68" s="226">
        <f t="shared" si="3"/>
        <v>-5.6481245640816979E-6</v>
      </c>
      <c r="G68" s="226">
        <f t="shared" si="4"/>
        <v>-5.704605809722516E-4</v>
      </c>
      <c r="H68" s="226"/>
      <c r="I68" s="238">
        <f t="shared" si="5"/>
        <v>46965</v>
      </c>
    </row>
    <row r="69" spans="1:9" x14ac:dyDescent="0.3">
      <c r="A69" s="238">
        <f t="shared" si="0"/>
        <v>46996</v>
      </c>
      <c r="B69" s="228">
        <v>60</v>
      </c>
      <c r="C69" s="230">
        <f t="shared" si="6"/>
        <v>-5.704605809722516E-4</v>
      </c>
      <c r="D69" s="239"/>
      <c r="E69" s="226">
        <f t="shared" si="2"/>
        <v>5.7046058097225155E-6</v>
      </c>
      <c r="F69" s="226">
        <f t="shared" si="3"/>
        <v>-5.7046058097225155E-6</v>
      </c>
      <c r="G69" s="226">
        <f t="shared" si="4"/>
        <v>-5.7616518678197412E-4</v>
      </c>
      <c r="H69" s="226"/>
      <c r="I69" s="238">
        <f t="shared" si="5"/>
        <v>46996</v>
      </c>
    </row>
    <row r="70" spans="1:9" x14ac:dyDescent="0.3">
      <c r="A70" s="238"/>
      <c r="B70" s="228"/>
      <c r="C70" s="230"/>
      <c r="D70" s="239"/>
      <c r="E70" s="226"/>
      <c r="F70" s="226"/>
      <c r="G70" s="226"/>
      <c r="H70" s="226"/>
    </row>
    <row r="71" spans="1:9" x14ac:dyDescent="0.3">
      <c r="A71" s="238"/>
      <c r="B71" s="228"/>
      <c r="C71" s="230"/>
      <c r="D71" s="239"/>
      <c r="E71" s="226"/>
      <c r="F71" s="226"/>
      <c r="G71" s="226"/>
      <c r="H71" s="226"/>
    </row>
    <row r="72" spans="1:9" x14ac:dyDescent="0.3">
      <c r="A72" s="238"/>
      <c r="B72" s="228"/>
      <c r="C72" s="230"/>
      <c r="D72" s="239"/>
      <c r="E72" s="226"/>
      <c r="F72" s="226"/>
      <c r="G72" s="226"/>
      <c r="H72" s="226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C754-8477-403D-88A2-519C41FA5101}">
  <sheetPr>
    <tabColor theme="0" tint="-0.499984740745262"/>
  </sheetPr>
  <dimension ref="A1:Q71"/>
  <sheetViews>
    <sheetView topLeftCell="A37" workbookViewId="0">
      <selection activeCell="D51" sqref="D51"/>
    </sheetView>
  </sheetViews>
  <sheetFormatPr defaultColWidth="8.88671875" defaultRowHeight="14.4" x14ac:dyDescent="0.3"/>
  <cols>
    <col min="1" max="1" width="12.44140625" style="218" bestFit="1" customWidth="1"/>
    <col min="2" max="2" width="14.109375" style="218" bestFit="1" customWidth="1"/>
    <col min="3" max="4" width="10.44140625" style="218" bestFit="1" customWidth="1"/>
    <col min="5" max="5" width="9" style="218" bestFit="1" customWidth="1"/>
    <col min="6" max="6" width="11" style="218" bestFit="1" customWidth="1"/>
    <col min="7" max="7" width="16.6640625" style="218" bestFit="1" customWidth="1"/>
    <col min="8" max="8" width="11.5546875" style="218" bestFit="1" customWidth="1"/>
    <col min="9" max="9" width="8.88671875" style="218"/>
    <col min="10" max="10" width="12.5546875" style="218" bestFit="1" customWidth="1"/>
    <col min="11" max="11" width="11.6640625" style="218" bestFit="1" customWidth="1"/>
    <col min="12" max="12" width="8.88671875" style="218"/>
    <col min="13" max="13" width="17.44140625" style="218" bestFit="1" customWidth="1"/>
    <col min="14" max="14" width="12.33203125" style="218" customWidth="1"/>
    <col min="15" max="15" width="14.33203125" style="218" customWidth="1"/>
    <col min="16" max="16" width="11" style="218" bestFit="1" customWidth="1"/>
    <col min="17" max="17" width="9.109375" style="218" bestFit="1" customWidth="1"/>
    <col min="18" max="16384" width="8.88671875" style="218"/>
  </cols>
  <sheetData>
    <row r="1" spans="1:17" x14ac:dyDescent="0.3">
      <c r="A1" s="217">
        <v>70000</v>
      </c>
      <c r="D1" s="219"/>
      <c r="E1" s="219"/>
      <c r="F1" s="219"/>
      <c r="G1" s="219"/>
    </row>
    <row r="2" spans="1:17" x14ac:dyDescent="0.3">
      <c r="A2" s="218">
        <v>48</v>
      </c>
      <c r="B2" s="218" t="s">
        <v>174</v>
      </c>
      <c r="C2" s="220">
        <v>1775.38</v>
      </c>
      <c r="D2" s="219"/>
      <c r="E2" s="219"/>
      <c r="F2" s="219"/>
      <c r="G2" s="219"/>
    </row>
    <row r="3" spans="1:17" x14ac:dyDescent="0.3">
      <c r="A3" s="221">
        <v>0.1</v>
      </c>
      <c r="B3" s="218" t="s">
        <v>175</v>
      </c>
      <c r="D3" s="219"/>
      <c r="E3" s="219"/>
      <c r="F3" s="219"/>
      <c r="G3" s="219"/>
    </row>
    <row r="4" spans="1:17" x14ac:dyDescent="0.3">
      <c r="A4" s="222">
        <f>A3/12</f>
        <v>8.3333333333333332E-3</v>
      </c>
      <c r="B4" s="218" t="s">
        <v>176</v>
      </c>
      <c r="D4" s="219"/>
      <c r="E4" s="219"/>
      <c r="F4" s="219"/>
      <c r="G4" s="219"/>
    </row>
    <row r="5" spans="1:17" x14ac:dyDescent="0.3">
      <c r="A5" s="223"/>
      <c r="B5" s="223"/>
      <c r="C5" s="219"/>
      <c r="D5" s="219"/>
      <c r="E5" s="219"/>
      <c r="F5" s="219"/>
      <c r="G5" s="219"/>
      <c r="J5" s="224" t="s">
        <v>177</v>
      </c>
      <c r="K5" s="272">
        <v>45808</v>
      </c>
      <c r="L5" s="222"/>
      <c r="M5" s="222" t="s">
        <v>178</v>
      </c>
      <c r="N5" s="225">
        <f>SUMIF(H:H,"&lt;="&amp;DATE(YEAR(K5),MONTH(K5)+12,DAY(K5)),D:D)-SUMIF(H:H,"&lt;"&amp;K5+1,D:D)</f>
        <v>4.1830338886938989E-4</v>
      </c>
      <c r="O5" s="226"/>
      <c r="P5" s="226"/>
      <c r="Q5" s="329"/>
    </row>
    <row r="6" spans="1:17" x14ac:dyDescent="0.3">
      <c r="A6" s="223"/>
      <c r="B6" s="223"/>
      <c r="C6" s="219"/>
      <c r="D6" s="219"/>
      <c r="E6" s="219"/>
      <c r="F6" s="219"/>
      <c r="G6" s="219"/>
      <c r="J6" s="222"/>
      <c r="K6" s="222"/>
      <c r="L6" s="222"/>
      <c r="M6" s="222" t="s">
        <v>179</v>
      </c>
      <c r="N6" s="227">
        <f>INDEX(B:F,MATCH(K5,H:H,0),5)-N5</f>
        <v>-5.2525712453643791E-3</v>
      </c>
      <c r="P6" s="226"/>
    </row>
    <row r="7" spans="1:17" x14ac:dyDescent="0.3">
      <c r="A7" s="228"/>
      <c r="B7" s="228"/>
      <c r="C7" s="226"/>
      <c r="D7" s="226"/>
      <c r="E7" s="226"/>
      <c r="F7" s="226"/>
      <c r="G7" s="226"/>
      <c r="J7" s="222"/>
      <c r="K7" s="222"/>
      <c r="L7" s="222"/>
      <c r="M7" s="224" t="s">
        <v>7</v>
      </c>
      <c r="N7" s="370">
        <f>N6+N5</f>
        <v>-4.8342678564949892E-3</v>
      </c>
    </row>
    <row r="8" spans="1:17" x14ac:dyDescent="0.3">
      <c r="A8" s="228"/>
      <c r="B8" s="228"/>
      <c r="C8" s="230" t="s">
        <v>11</v>
      </c>
      <c r="D8" s="230" t="s">
        <v>38</v>
      </c>
      <c r="E8" s="230" t="s">
        <v>12</v>
      </c>
      <c r="F8" s="230" t="s">
        <v>180</v>
      </c>
      <c r="G8" s="230" t="s">
        <v>181</v>
      </c>
      <c r="H8" s="218" t="s">
        <v>8</v>
      </c>
      <c r="J8" s="222"/>
      <c r="K8" s="222"/>
      <c r="L8" s="222"/>
      <c r="M8" s="231" t="s">
        <v>37</v>
      </c>
      <c r="N8" s="232">
        <f>INDEX(B:F,MATCH(K5,H:H,0),5)-N7</f>
        <v>0</v>
      </c>
    </row>
    <row r="9" spans="1:17" x14ac:dyDescent="0.3">
      <c r="A9" s="233">
        <v>44440</v>
      </c>
      <c r="B9" s="234">
        <v>0</v>
      </c>
      <c r="C9" s="235"/>
      <c r="D9" s="236"/>
      <c r="E9" s="236"/>
      <c r="F9" s="236">
        <f>A1-C9</f>
        <v>70000</v>
      </c>
      <c r="G9" s="236"/>
      <c r="H9" s="233">
        <v>44440</v>
      </c>
    </row>
    <row r="10" spans="1:17" x14ac:dyDescent="0.3">
      <c r="A10" s="233">
        <v>44469</v>
      </c>
      <c r="B10" s="234">
        <v>1</v>
      </c>
      <c r="C10" s="237">
        <f>$C$2</f>
        <v>1775.38</v>
      </c>
      <c r="D10" s="236">
        <f>C10-E10</f>
        <v>1192.0466666666666</v>
      </c>
      <c r="E10" s="236">
        <f>(F9+G9)*(1/12)*$A$3</f>
        <v>583.33333333333337</v>
      </c>
      <c r="F10" s="236">
        <f>F9-D10</f>
        <v>68807.953333333338</v>
      </c>
      <c r="G10" s="236"/>
      <c r="H10" s="233">
        <v>44469</v>
      </c>
    </row>
    <row r="11" spans="1:17" x14ac:dyDescent="0.3">
      <c r="A11" s="233">
        <f t="shared" ref="A11:A64" si="0">EOMONTH(A10,1)</f>
        <v>44500</v>
      </c>
      <c r="B11" s="234">
        <v>2</v>
      </c>
      <c r="C11" s="237">
        <f t="shared" ref="C11:C44" si="1">$C$2</f>
        <v>1775.38</v>
      </c>
      <c r="D11" s="236">
        <f t="shared" ref="D11:D59" si="2">C11-E11</f>
        <v>1201.9803888888889</v>
      </c>
      <c r="E11" s="236">
        <f t="shared" ref="E11:E59" si="3">(F10+G10)*(1/12)*$A$3</f>
        <v>573.3996111111112</v>
      </c>
      <c r="F11" s="236">
        <f t="shared" ref="F11:F59" si="4">F10-D11</f>
        <v>67605.972944444453</v>
      </c>
      <c r="G11" s="236"/>
      <c r="H11" s="233">
        <f t="shared" ref="H11:H64" si="5">EOMONTH(H10,1)</f>
        <v>44500</v>
      </c>
    </row>
    <row r="12" spans="1:17" x14ac:dyDescent="0.3">
      <c r="A12" s="233">
        <f t="shared" si="0"/>
        <v>44530</v>
      </c>
      <c r="B12" s="234">
        <v>3</v>
      </c>
      <c r="C12" s="237">
        <f t="shared" si="1"/>
        <v>1775.38</v>
      </c>
      <c r="D12" s="236">
        <f t="shared" si="2"/>
        <v>1211.9968921296295</v>
      </c>
      <c r="E12" s="236">
        <f t="shared" si="3"/>
        <v>563.38310787037051</v>
      </c>
      <c r="F12" s="236">
        <f t="shared" si="4"/>
        <v>66393.976052314829</v>
      </c>
      <c r="G12" s="236"/>
      <c r="H12" s="233">
        <f t="shared" si="5"/>
        <v>44530</v>
      </c>
    </row>
    <row r="13" spans="1:17" x14ac:dyDescent="0.3">
      <c r="A13" s="233">
        <f t="shared" si="0"/>
        <v>44561</v>
      </c>
      <c r="B13" s="234">
        <v>4</v>
      </c>
      <c r="C13" s="237">
        <f t="shared" si="1"/>
        <v>1775.38</v>
      </c>
      <c r="D13" s="236">
        <f t="shared" si="2"/>
        <v>1222.09686623071</v>
      </c>
      <c r="E13" s="236">
        <f t="shared" si="3"/>
        <v>553.2831337692902</v>
      </c>
      <c r="F13" s="236">
        <f t="shared" si="4"/>
        <v>65171.879186084116</v>
      </c>
      <c r="G13" s="236"/>
      <c r="H13" s="233">
        <f t="shared" si="5"/>
        <v>44561</v>
      </c>
    </row>
    <row r="14" spans="1:17" ht="15.75" customHeight="1" x14ac:dyDescent="0.3">
      <c r="A14" s="233">
        <f t="shared" si="0"/>
        <v>44592</v>
      </c>
      <c r="B14" s="234">
        <v>5</v>
      </c>
      <c r="C14" s="237">
        <f t="shared" si="1"/>
        <v>1775.38</v>
      </c>
      <c r="D14" s="236">
        <f t="shared" si="2"/>
        <v>1232.2810067826326</v>
      </c>
      <c r="E14" s="236">
        <f t="shared" si="3"/>
        <v>543.09899321736759</v>
      </c>
      <c r="F14" s="236">
        <f t="shared" si="4"/>
        <v>63939.59817930148</v>
      </c>
      <c r="G14" s="236"/>
      <c r="H14" s="233">
        <f t="shared" si="5"/>
        <v>44592</v>
      </c>
    </row>
    <row r="15" spans="1:17" x14ac:dyDescent="0.3">
      <c r="A15" s="233">
        <f t="shared" si="0"/>
        <v>44620</v>
      </c>
      <c r="B15" s="234">
        <v>6</v>
      </c>
      <c r="C15" s="237">
        <f t="shared" si="1"/>
        <v>1775.38</v>
      </c>
      <c r="D15" s="236">
        <f t="shared" si="2"/>
        <v>1242.5500151724877</v>
      </c>
      <c r="E15" s="236">
        <f t="shared" si="3"/>
        <v>532.82998482751225</v>
      </c>
      <c r="F15" s="236">
        <f t="shared" si="4"/>
        <v>62697.048164128995</v>
      </c>
      <c r="G15" s="236"/>
      <c r="H15" s="233">
        <f t="shared" si="5"/>
        <v>44620</v>
      </c>
    </row>
    <row r="16" spans="1:17" x14ac:dyDescent="0.3">
      <c r="A16" s="233">
        <f t="shared" si="0"/>
        <v>44651</v>
      </c>
      <c r="B16" s="234">
        <v>7</v>
      </c>
      <c r="C16" s="237">
        <f t="shared" si="1"/>
        <v>1775.38</v>
      </c>
      <c r="D16" s="236">
        <f t="shared" si="2"/>
        <v>1252.9045986322585</v>
      </c>
      <c r="E16" s="236">
        <f t="shared" si="3"/>
        <v>522.4754013677416</v>
      </c>
      <c r="F16" s="236">
        <f t="shared" si="4"/>
        <v>61444.143565496735</v>
      </c>
      <c r="G16" s="236"/>
      <c r="H16" s="233">
        <f t="shared" si="5"/>
        <v>44651</v>
      </c>
    </row>
    <row r="17" spans="1:8" x14ac:dyDescent="0.3">
      <c r="A17" s="233">
        <f t="shared" si="0"/>
        <v>44681</v>
      </c>
      <c r="B17" s="234">
        <v>8</v>
      </c>
      <c r="C17" s="237">
        <f t="shared" si="1"/>
        <v>1775.38</v>
      </c>
      <c r="D17" s="236">
        <f t="shared" si="2"/>
        <v>1263.3454702875274</v>
      </c>
      <c r="E17" s="236">
        <f t="shared" si="3"/>
        <v>512.03452971247282</v>
      </c>
      <c r="F17" s="236">
        <f t="shared" si="4"/>
        <v>60180.798095209211</v>
      </c>
      <c r="G17" s="236"/>
      <c r="H17" s="233">
        <f t="shared" si="5"/>
        <v>44681</v>
      </c>
    </row>
    <row r="18" spans="1:8" x14ac:dyDescent="0.3">
      <c r="A18" s="233">
        <f t="shared" si="0"/>
        <v>44712</v>
      </c>
      <c r="B18" s="234">
        <v>9</v>
      </c>
      <c r="C18" s="237">
        <f t="shared" si="1"/>
        <v>1775.38</v>
      </c>
      <c r="D18" s="236">
        <f t="shared" si="2"/>
        <v>1273.8733492065901</v>
      </c>
      <c r="E18" s="236">
        <f t="shared" si="3"/>
        <v>501.50665079341007</v>
      </c>
      <c r="F18" s="236">
        <f t="shared" si="4"/>
        <v>58906.924746002624</v>
      </c>
      <c r="G18" s="236"/>
      <c r="H18" s="233">
        <f t="shared" si="5"/>
        <v>44712</v>
      </c>
    </row>
    <row r="19" spans="1:8" x14ac:dyDescent="0.3">
      <c r="A19" s="233">
        <f t="shared" si="0"/>
        <v>44742</v>
      </c>
      <c r="B19" s="234">
        <v>10</v>
      </c>
      <c r="C19" s="237">
        <v>0</v>
      </c>
      <c r="D19" s="236">
        <v>0</v>
      </c>
      <c r="E19" s="236">
        <f t="shared" si="3"/>
        <v>490.89103955002184</v>
      </c>
      <c r="F19" s="236">
        <f t="shared" si="4"/>
        <v>58906.924746002624</v>
      </c>
      <c r="G19" s="236">
        <f>E19</f>
        <v>490.89103955002184</v>
      </c>
      <c r="H19" s="233">
        <f t="shared" si="5"/>
        <v>44742</v>
      </c>
    </row>
    <row r="20" spans="1:8" x14ac:dyDescent="0.3">
      <c r="A20" s="233">
        <f t="shared" si="0"/>
        <v>44773</v>
      </c>
      <c r="B20" s="234">
        <v>11</v>
      </c>
      <c r="C20" s="237">
        <f t="shared" si="1"/>
        <v>1775.38</v>
      </c>
      <c r="D20" s="240">
        <f>C20-E19</f>
        <v>1284.4889604499783</v>
      </c>
      <c r="E20" s="236">
        <f t="shared" si="3"/>
        <v>494.98179821293871</v>
      </c>
      <c r="F20" s="236">
        <f t="shared" si="4"/>
        <v>57622.435785552647</v>
      </c>
      <c r="G20" s="236">
        <f>E20</f>
        <v>494.98179821293871</v>
      </c>
      <c r="H20" s="233">
        <f t="shared" si="5"/>
        <v>44773</v>
      </c>
    </row>
    <row r="21" spans="1:8" x14ac:dyDescent="0.3">
      <c r="A21" s="233">
        <f t="shared" si="0"/>
        <v>44804</v>
      </c>
      <c r="B21" s="234">
        <v>12</v>
      </c>
      <c r="C21" s="237">
        <v>3550.76</v>
      </c>
      <c r="D21" s="240">
        <f>C21-E20-E21</f>
        <v>2571.466388589015</v>
      </c>
      <c r="E21" s="236">
        <f t="shared" si="3"/>
        <v>484.31181319804659</v>
      </c>
      <c r="F21" s="236">
        <f t="shared" si="4"/>
        <v>55050.969396963628</v>
      </c>
      <c r="G21" s="236">
        <v>0</v>
      </c>
      <c r="H21" s="233">
        <f t="shared" si="5"/>
        <v>44804</v>
      </c>
    </row>
    <row r="22" spans="1:8" x14ac:dyDescent="0.3">
      <c r="A22" s="233">
        <f t="shared" si="0"/>
        <v>44834</v>
      </c>
      <c r="B22" s="234">
        <v>13</v>
      </c>
      <c r="C22" s="237">
        <f t="shared" si="1"/>
        <v>1775.38</v>
      </c>
      <c r="D22" s="240">
        <f>C22-E22</f>
        <v>1316.6219216919699</v>
      </c>
      <c r="E22" s="236">
        <f t="shared" si="3"/>
        <v>458.75807830803024</v>
      </c>
      <c r="F22" s="236">
        <f t="shared" si="4"/>
        <v>53734.347475271657</v>
      </c>
      <c r="G22" s="236">
        <v>0</v>
      </c>
      <c r="H22" s="233">
        <f t="shared" si="5"/>
        <v>44834</v>
      </c>
    </row>
    <row r="23" spans="1:8" x14ac:dyDescent="0.3">
      <c r="A23" s="233">
        <f t="shared" si="0"/>
        <v>44865</v>
      </c>
      <c r="B23" s="234">
        <v>14</v>
      </c>
      <c r="C23" s="237">
        <v>2225.38</v>
      </c>
      <c r="D23" s="240">
        <f t="shared" ref="D23:D24" si="6">C23-E23</f>
        <v>1777.593771039403</v>
      </c>
      <c r="E23" s="236">
        <f t="shared" si="3"/>
        <v>447.78622896059716</v>
      </c>
      <c r="F23" s="236">
        <f t="shared" si="4"/>
        <v>51956.753704232251</v>
      </c>
      <c r="G23" s="236">
        <v>0</v>
      </c>
      <c r="H23" s="233">
        <f t="shared" si="5"/>
        <v>44865</v>
      </c>
    </row>
    <row r="24" spans="1:8" x14ac:dyDescent="0.3">
      <c r="A24" s="233">
        <f t="shared" si="0"/>
        <v>44895</v>
      </c>
      <c r="B24" s="234">
        <v>15</v>
      </c>
      <c r="C24" s="237">
        <f t="shared" si="1"/>
        <v>1775.38</v>
      </c>
      <c r="D24" s="240">
        <f t="shared" si="6"/>
        <v>1342.4070524647314</v>
      </c>
      <c r="E24" s="236">
        <f t="shared" si="3"/>
        <v>432.97294753526876</v>
      </c>
      <c r="F24" s="236">
        <f t="shared" si="4"/>
        <v>50614.346651767519</v>
      </c>
      <c r="G24" s="236"/>
      <c r="H24" s="233">
        <f t="shared" si="5"/>
        <v>44895</v>
      </c>
    </row>
    <row r="25" spans="1:8" x14ac:dyDescent="0.3">
      <c r="A25" s="233">
        <f t="shared" si="0"/>
        <v>44926</v>
      </c>
      <c r="B25" s="234">
        <v>16</v>
      </c>
      <c r="C25" s="237">
        <v>0</v>
      </c>
      <c r="D25" s="236">
        <v>0</v>
      </c>
      <c r="E25" s="236">
        <f t="shared" si="3"/>
        <v>421.78622209806264</v>
      </c>
      <c r="F25" s="236">
        <f t="shared" si="4"/>
        <v>50614.346651767519</v>
      </c>
      <c r="G25" s="236">
        <f>E25</f>
        <v>421.78622209806264</v>
      </c>
      <c r="H25" s="233">
        <f t="shared" si="5"/>
        <v>44926</v>
      </c>
    </row>
    <row r="26" spans="1:8" x14ac:dyDescent="0.3">
      <c r="A26" s="233">
        <f t="shared" si="0"/>
        <v>44957</v>
      </c>
      <c r="B26" s="234">
        <v>17</v>
      </c>
      <c r="C26" s="237">
        <f t="shared" si="1"/>
        <v>1775.38</v>
      </c>
      <c r="D26" s="240">
        <f>C26-E25</f>
        <v>1353.5937779019375</v>
      </c>
      <c r="E26" s="236">
        <f t="shared" si="3"/>
        <v>425.3011072822132</v>
      </c>
      <c r="F26" s="236">
        <f t="shared" si="4"/>
        <v>49260.752873865582</v>
      </c>
      <c r="G26" s="236">
        <f>E26</f>
        <v>425.3011072822132</v>
      </c>
      <c r="H26" s="233">
        <f t="shared" si="5"/>
        <v>44957</v>
      </c>
    </row>
    <row r="27" spans="1:8" x14ac:dyDescent="0.3">
      <c r="A27" s="233">
        <f t="shared" si="0"/>
        <v>44985</v>
      </c>
      <c r="B27" s="234">
        <v>18</v>
      </c>
      <c r="C27" s="237">
        <f t="shared" si="1"/>
        <v>1775.38</v>
      </c>
      <c r="D27" s="240">
        <f t="shared" ref="D27:D32" si="7">C27-E26</f>
        <v>1350.0788927177869</v>
      </c>
      <c r="E27" s="236">
        <f t="shared" si="3"/>
        <v>414.05044984289827</v>
      </c>
      <c r="F27" s="236">
        <f t="shared" si="4"/>
        <v>47910.673981147796</v>
      </c>
      <c r="G27" s="236">
        <f t="shared" ref="G27:G33" si="8">E27</f>
        <v>414.05044984289827</v>
      </c>
      <c r="H27" s="233">
        <f t="shared" si="5"/>
        <v>44985</v>
      </c>
    </row>
    <row r="28" spans="1:8" x14ac:dyDescent="0.3">
      <c r="A28" s="233">
        <f t="shared" si="0"/>
        <v>45016</v>
      </c>
      <c r="B28" s="234">
        <v>19</v>
      </c>
      <c r="C28" s="237">
        <f t="shared" si="1"/>
        <v>1775.38</v>
      </c>
      <c r="D28" s="240">
        <f t="shared" si="7"/>
        <v>1361.3295501571019</v>
      </c>
      <c r="E28" s="236">
        <f t="shared" si="3"/>
        <v>402.7060369249225</v>
      </c>
      <c r="F28" s="236">
        <f t="shared" si="4"/>
        <v>46549.344430990692</v>
      </c>
      <c r="G28" s="236">
        <f t="shared" si="8"/>
        <v>402.7060369249225</v>
      </c>
      <c r="H28" s="233">
        <f t="shared" si="5"/>
        <v>45016</v>
      </c>
    </row>
    <row r="29" spans="1:8" x14ac:dyDescent="0.3">
      <c r="A29" s="233">
        <f t="shared" si="0"/>
        <v>45046</v>
      </c>
      <c r="B29" s="234">
        <v>20</v>
      </c>
      <c r="C29" s="237">
        <f t="shared" si="1"/>
        <v>1775.38</v>
      </c>
      <c r="D29" s="240">
        <f t="shared" si="7"/>
        <v>1372.6739630750776</v>
      </c>
      <c r="E29" s="236">
        <f t="shared" si="3"/>
        <v>391.2670872326301</v>
      </c>
      <c r="F29" s="236">
        <f t="shared" si="4"/>
        <v>45176.670467915617</v>
      </c>
      <c r="G29" s="236">
        <f t="shared" si="8"/>
        <v>391.2670872326301</v>
      </c>
      <c r="H29" s="233">
        <f t="shared" si="5"/>
        <v>45046</v>
      </c>
    </row>
    <row r="30" spans="1:8" x14ac:dyDescent="0.3">
      <c r="A30" s="233">
        <f t="shared" si="0"/>
        <v>45077</v>
      </c>
      <c r="B30" s="234">
        <v>21</v>
      </c>
      <c r="C30" s="237">
        <f t="shared" si="1"/>
        <v>1775.38</v>
      </c>
      <c r="D30" s="240">
        <f t="shared" si="7"/>
        <v>1384.1129127673701</v>
      </c>
      <c r="E30" s="236">
        <f t="shared" si="3"/>
        <v>379.73281295956872</v>
      </c>
      <c r="F30" s="236">
        <f t="shared" si="4"/>
        <v>43792.557555148247</v>
      </c>
      <c r="G30" s="236">
        <f t="shared" si="8"/>
        <v>379.73281295956872</v>
      </c>
      <c r="H30" s="233">
        <f t="shared" si="5"/>
        <v>45077</v>
      </c>
    </row>
    <row r="31" spans="1:8" x14ac:dyDescent="0.3">
      <c r="A31" s="233">
        <f t="shared" si="0"/>
        <v>45107</v>
      </c>
      <c r="B31" s="234">
        <v>22</v>
      </c>
      <c r="C31" s="237">
        <f t="shared" si="1"/>
        <v>1775.38</v>
      </c>
      <c r="D31" s="240">
        <f t="shared" si="7"/>
        <v>1395.6471870404314</v>
      </c>
      <c r="E31" s="236">
        <f t="shared" si="3"/>
        <v>368.10241973423183</v>
      </c>
      <c r="F31" s="236">
        <f t="shared" si="4"/>
        <v>42396.910368107812</v>
      </c>
      <c r="G31" s="236">
        <f t="shared" si="8"/>
        <v>368.10241973423183</v>
      </c>
      <c r="H31" s="233">
        <f t="shared" si="5"/>
        <v>45107</v>
      </c>
    </row>
    <row r="32" spans="1:8" x14ac:dyDescent="0.3">
      <c r="A32" s="233">
        <f t="shared" si="0"/>
        <v>45138</v>
      </c>
      <c r="B32" s="234">
        <v>23</v>
      </c>
      <c r="C32" s="237">
        <f t="shared" si="1"/>
        <v>1775.38</v>
      </c>
      <c r="D32" s="240">
        <f t="shared" si="7"/>
        <v>1407.2775802657684</v>
      </c>
      <c r="E32" s="236">
        <f t="shared" si="3"/>
        <v>356.37510656535039</v>
      </c>
      <c r="F32" s="236">
        <f t="shared" si="4"/>
        <v>40989.632787842042</v>
      </c>
      <c r="G32" s="236">
        <f t="shared" si="8"/>
        <v>356.37510656535039</v>
      </c>
      <c r="H32" s="233">
        <f t="shared" si="5"/>
        <v>45138</v>
      </c>
    </row>
    <row r="33" spans="1:11" x14ac:dyDescent="0.3">
      <c r="A33" s="233">
        <f t="shared" si="0"/>
        <v>45169</v>
      </c>
      <c r="B33" s="234">
        <v>24</v>
      </c>
      <c r="C33" s="237">
        <f t="shared" si="1"/>
        <v>1775.38</v>
      </c>
      <c r="D33" s="240">
        <f>C33-E32</f>
        <v>1419.0048934346496</v>
      </c>
      <c r="E33" s="236">
        <f t="shared" si="3"/>
        <v>344.55006578672828</v>
      </c>
      <c r="F33" s="236">
        <f t="shared" si="4"/>
        <v>39570.627894407393</v>
      </c>
      <c r="G33" s="236">
        <f t="shared" si="8"/>
        <v>344.55006578672828</v>
      </c>
      <c r="H33" s="233">
        <f t="shared" si="5"/>
        <v>45169</v>
      </c>
    </row>
    <row r="34" spans="1:11" x14ac:dyDescent="0.3">
      <c r="A34" s="233">
        <f t="shared" si="0"/>
        <v>45199</v>
      </c>
      <c r="B34" s="234">
        <v>25</v>
      </c>
      <c r="C34" s="237">
        <f t="shared" si="1"/>
        <v>1775.38</v>
      </c>
      <c r="D34" s="236">
        <v>0</v>
      </c>
      <c r="E34" s="236">
        <f t="shared" si="3"/>
        <v>332.62648300161771</v>
      </c>
      <c r="F34" s="236">
        <f t="shared" si="4"/>
        <v>39570.627894407393</v>
      </c>
      <c r="G34" s="236">
        <f>G33+E34</f>
        <v>677.17654878834605</v>
      </c>
      <c r="H34" s="233">
        <f t="shared" si="5"/>
        <v>45199</v>
      </c>
    </row>
    <row r="35" spans="1:11" x14ac:dyDescent="0.3">
      <c r="A35" s="233">
        <f t="shared" si="0"/>
        <v>45230</v>
      </c>
      <c r="B35" s="234">
        <v>26</v>
      </c>
      <c r="C35" s="237">
        <f t="shared" si="1"/>
        <v>1775.38</v>
      </c>
      <c r="D35" s="240">
        <f>C35-E33</f>
        <v>1430.8299342132718</v>
      </c>
      <c r="E35" s="236">
        <f t="shared" si="3"/>
        <v>335.39837035996447</v>
      </c>
      <c r="F35" s="236">
        <f t="shared" si="4"/>
        <v>38139.797960194119</v>
      </c>
      <c r="G35" s="236">
        <f>E35+E34</f>
        <v>668.02485336158225</v>
      </c>
      <c r="H35" s="233">
        <f t="shared" si="5"/>
        <v>45230</v>
      </c>
    </row>
    <row r="36" spans="1:11" x14ac:dyDescent="0.3">
      <c r="A36" s="233">
        <f t="shared" si="0"/>
        <v>45260</v>
      </c>
      <c r="B36" s="234">
        <v>27</v>
      </c>
      <c r="C36" s="237">
        <f t="shared" si="1"/>
        <v>1775.38</v>
      </c>
      <c r="D36" s="236">
        <v>0</v>
      </c>
      <c r="E36" s="236">
        <f t="shared" si="3"/>
        <v>323.39852344629753</v>
      </c>
      <c r="F36" s="236">
        <f t="shared" si="4"/>
        <v>38139.797960194119</v>
      </c>
      <c r="G36" s="236">
        <f>G35+E36</f>
        <v>991.42337680787978</v>
      </c>
      <c r="H36" s="233">
        <f t="shared" si="5"/>
        <v>45260</v>
      </c>
    </row>
    <row r="37" spans="1:11" x14ac:dyDescent="0.3">
      <c r="A37" s="233">
        <f t="shared" si="0"/>
        <v>45291</v>
      </c>
      <c r="B37" s="234">
        <v>28</v>
      </c>
      <c r="C37" s="237">
        <f t="shared" si="1"/>
        <v>1775.38</v>
      </c>
      <c r="D37" s="236">
        <v>0</v>
      </c>
      <c r="E37" s="236">
        <f t="shared" si="3"/>
        <v>326.09351114168334</v>
      </c>
      <c r="F37" s="236">
        <f t="shared" si="4"/>
        <v>38139.797960194119</v>
      </c>
      <c r="G37" s="236">
        <f>G36+E37</f>
        <v>1317.5168879495632</v>
      </c>
      <c r="H37" s="233">
        <f t="shared" si="5"/>
        <v>45291</v>
      </c>
    </row>
    <row r="38" spans="1:11" x14ac:dyDescent="0.3">
      <c r="A38" s="233">
        <f t="shared" si="0"/>
        <v>45322</v>
      </c>
      <c r="B38" s="234">
        <v>29</v>
      </c>
      <c r="C38" s="237">
        <v>5326.14</v>
      </c>
      <c r="D38" s="240">
        <f>C38-E36-E35-E34</f>
        <v>4334.716623192121</v>
      </c>
      <c r="E38" s="236">
        <f t="shared" si="3"/>
        <v>328.81095706786402</v>
      </c>
      <c r="F38" s="236">
        <f t="shared" si="4"/>
        <v>33805.081337001997</v>
      </c>
      <c r="G38" s="236">
        <f>E37+E38</f>
        <v>654.9044682095473</v>
      </c>
      <c r="H38" s="233">
        <f t="shared" si="5"/>
        <v>45322</v>
      </c>
    </row>
    <row r="39" spans="1:11" x14ac:dyDescent="0.3">
      <c r="A39" s="233">
        <f t="shared" si="0"/>
        <v>45351</v>
      </c>
      <c r="B39" s="234">
        <v>30</v>
      </c>
      <c r="C39" s="237">
        <f t="shared" si="1"/>
        <v>1775.38</v>
      </c>
      <c r="D39" s="236">
        <v>0</v>
      </c>
      <c r="E39" s="236">
        <f t="shared" si="3"/>
        <v>287.16654837676288</v>
      </c>
      <c r="F39" s="236">
        <f t="shared" si="4"/>
        <v>33805.081337001997</v>
      </c>
      <c r="G39" s="236">
        <f>G38+E39</f>
        <v>942.07101658631018</v>
      </c>
      <c r="H39" s="233">
        <f t="shared" si="5"/>
        <v>45351</v>
      </c>
    </row>
    <row r="40" spans="1:11" x14ac:dyDescent="0.3">
      <c r="A40" s="233">
        <f t="shared" si="0"/>
        <v>45382</v>
      </c>
      <c r="B40" s="234">
        <v>31</v>
      </c>
      <c r="C40" s="237">
        <f t="shared" si="1"/>
        <v>1775.38</v>
      </c>
      <c r="D40" s="236">
        <v>0</v>
      </c>
      <c r="E40" s="236">
        <f t="shared" si="3"/>
        <v>289.55960294656927</v>
      </c>
      <c r="F40" s="236">
        <f t="shared" si="4"/>
        <v>33805.081337001997</v>
      </c>
      <c r="G40" s="236">
        <f>G39+E40</f>
        <v>1231.6306195328793</v>
      </c>
      <c r="H40" s="233">
        <f t="shared" si="5"/>
        <v>45382</v>
      </c>
    </row>
    <row r="41" spans="1:11" x14ac:dyDescent="0.3">
      <c r="A41" s="233">
        <f t="shared" si="0"/>
        <v>45412</v>
      </c>
      <c r="B41" s="234">
        <v>32</v>
      </c>
      <c r="C41" s="237">
        <v>7101.52</v>
      </c>
      <c r="D41" s="240">
        <f>C41-E39-E38-E37-E40</f>
        <v>5869.8893804671206</v>
      </c>
      <c r="E41" s="236">
        <f t="shared" si="3"/>
        <v>291.97259963779061</v>
      </c>
      <c r="F41" s="236">
        <f t="shared" si="4"/>
        <v>27935.191956534876</v>
      </c>
      <c r="G41" s="236">
        <f>E41</f>
        <v>291.97259963779061</v>
      </c>
      <c r="H41" s="233">
        <f t="shared" si="5"/>
        <v>45412</v>
      </c>
    </row>
    <row r="42" spans="1:11" x14ac:dyDescent="0.3">
      <c r="A42" s="233">
        <f t="shared" si="0"/>
        <v>45443</v>
      </c>
      <c r="B42" s="234">
        <v>33</v>
      </c>
      <c r="C42" s="237">
        <f t="shared" si="1"/>
        <v>1775.38</v>
      </c>
      <c r="D42" s="236">
        <v>0</v>
      </c>
      <c r="E42" s="236">
        <f t="shared" si="3"/>
        <v>235.22637130143886</v>
      </c>
      <c r="F42" s="236">
        <f t="shared" si="4"/>
        <v>27935.191956534876</v>
      </c>
      <c r="G42" s="236">
        <f>G41+E42</f>
        <v>527.19897093922941</v>
      </c>
      <c r="H42" s="233">
        <f t="shared" si="5"/>
        <v>45443</v>
      </c>
    </row>
    <row r="43" spans="1:11" x14ac:dyDescent="0.3">
      <c r="A43" s="233">
        <f t="shared" si="0"/>
        <v>45473</v>
      </c>
      <c r="B43" s="234">
        <v>34</v>
      </c>
      <c r="C43" s="237">
        <f t="shared" si="1"/>
        <v>1775.38</v>
      </c>
      <c r="D43" s="236">
        <v>0</v>
      </c>
      <c r="E43" s="236">
        <f t="shared" si="3"/>
        <v>237.18659106228421</v>
      </c>
      <c r="F43" s="236">
        <f t="shared" si="4"/>
        <v>27935.191956534876</v>
      </c>
      <c r="G43" s="236">
        <f>G42+E43</f>
        <v>764.38556200151356</v>
      </c>
      <c r="H43" s="233">
        <f t="shared" si="5"/>
        <v>45473</v>
      </c>
    </row>
    <row r="44" spans="1:11" x14ac:dyDescent="0.3">
      <c r="A44" s="233">
        <f t="shared" si="0"/>
        <v>45504</v>
      </c>
      <c r="B44" s="234">
        <v>35</v>
      </c>
      <c r="C44" s="237">
        <f t="shared" si="1"/>
        <v>1775.38</v>
      </c>
      <c r="D44" s="236">
        <v>0</v>
      </c>
      <c r="E44" s="236">
        <f t="shared" si="3"/>
        <v>239.16314598780323</v>
      </c>
      <c r="F44" s="236">
        <f t="shared" si="4"/>
        <v>27935.191956534876</v>
      </c>
      <c r="G44" s="236">
        <f>G43+E44</f>
        <v>1003.5487079893168</v>
      </c>
      <c r="H44" s="233">
        <f t="shared" si="5"/>
        <v>45504</v>
      </c>
    </row>
    <row r="45" spans="1:11" x14ac:dyDescent="0.3">
      <c r="A45" s="233">
        <f t="shared" si="0"/>
        <v>45535</v>
      </c>
      <c r="B45" s="234">
        <v>36</v>
      </c>
      <c r="C45" s="237">
        <v>0</v>
      </c>
      <c r="D45" s="236">
        <v>0</v>
      </c>
      <c r="E45" s="236">
        <f t="shared" si="3"/>
        <v>241.15617220436826</v>
      </c>
      <c r="F45" s="236">
        <f t="shared" si="4"/>
        <v>27935.191956534876</v>
      </c>
      <c r="G45" s="236">
        <f>G44+E45</f>
        <v>1244.7048801936851</v>
      </c>
      <c r="H45" s="233">
        <f t="shared" si="5"/>
        <v>45535</v>
      </c>
    </row>
    <row r="46" spans="1:11" x14ac:dyDescent="0.3">
      <c r="A46" s="233">
        <f t="shared" si="0"/>
        <v>45565</v>
      </c>
      <c r="B46" s="234">
        <v>37</v>
      </c>
      <c r="C46" s="237">
        <v>3550.76</v>
      </c>
      <c r="D46" s="240">
        <f>C46-E41-E42</f>
        <v>3023.5610290607706</v>
      </c>
      <c r="E46" s="236">
        <f t="shared" si="3"/>
        <v>243.16580697273798</v>
      </c>
      <c r="F46" s="236">
        <f t="shared" si="4"/>
        <v>24911.630927474107</v>
      </c>
      <c r="G46" s="236">
        <f>G45+E46-E41-E42</f>
        <v>960.67171622719366</v>
      </c>
      <c r="H46" s="233">
        <f t="shared" si="5"/>
        <v>45565</v>
      </c>
    </row>
    <row r="47" spans="1:11" x14ac:dyDescent="0.3">
      <c r="A47" s="233">
        <f t="shared" si="0"/>
        <v>45596</v>
      </c>
      <c r="B47" s="234">
        <v>38</v>
      </c>
      <c r="C47" s="237">
        <v>0</v>
      </c>
      <c r="D47" s="236">
        <v>0</v>
      </c>
      <c r="E47" s="236">
        <f t="shared" si="3"/>
        <v>215.60252203084417</v>
      </c>
      <c r="F47" s="236">
        <f t="shared" si="4"/>
        <v>24911.630927474107</v>
      </c>
      <c r="G47" s="236">
        <f>G46+E47</f>
        <v>1176.2742382580377</v>
      </c>
      <c r="H47" s="233">
        <f t="shared" si="5"/>
        <v>45596</v>
      </c>
    </row>
    <row r="48" spans="1:11" x14ac:dyDescent="0.3">
      <c r="A48" s="233">
        <f t="shared" si="0"/>
        <v>45626</v>
      </c>
      <c r="B48" s="234">
        <v>39</v>
      </c>
      <c r="C48" s="237">
        <v>5326.14</v>
      </c>
      <c r="D48" s="240">
        <f>C48-E43-E44-E45</f>
        <v>4608.6340907455442</v>
      </c>
      <c r="E48" s="236">
        <f>(F47+G47)*(1/12)*$A$3</f>
        <v>217.39920971443453</v>
      </c>
      <c r="F48" s="236">
        <f t="shared" si="4"/>
        <v>20302.996836728562</v>
      </c>
      <c r="G48" s="236">
        <f>G47+E48-E43-E44-E45</f>
        <v>676.16753871801666</v>
      </c>
      <c r="H48" s="233">
        <f t="shared" si="5"/>
        <v>45626</v>
      </c>
      <c r="I48" s="218" t="s">
        <v>271</v>
      </c>
      <c r="K48" s="226"/>
    </row>
    <row r="49" spans="1:9" x14ac:dyDescent="0.3">
      <c r="A49" s="233">
        <f t="shared" si="0"/>
        <v>45657</v>
      </c>
      <c r="B49" s="234">
        <v>40</v>
      </c>
      <c r="C49" s="237">
        <v>0</v>
      </c>
      <c r="D49" s="236">
        <v>0</v>
      </c>
      <c r="E49" s="236">
        <f t="shared" si="3"/>
        <v>174.82636979538813</v>
      </c>
      <c r="F49" s="236">
        <f t="shared" si="4"/>
        <v>20302.996836728562</v>
      </c>
      <c r="G49" s="236">
        <f>G48+E49</f>
        <v>850.99390851340479</v>
      </c>
      <c r="H49" s="233">
        <f t="shared" si="5"/>
        <v>45657</v>
      </c>
    </row>
    <row r="50" spans="1:9" x14ac:dyDescent="0.3">
      <c r="A50" s="233">
        <f t="shared" si="0"/>
        <v>45688</v>
      </c>
      <c r="B50" s="234">
        <v>41</v>
      </c>
      <c r="C50" s="237">
        <v>0</v>
      </c>
      <c r="D50" s="236">
        <v>0</v>
      </c>
      <c r="E50" s="236">
        <f t="shared" si="3"/>
        <v>176.28325621034975</v>
      </c>
      <c r="F50" s="236">
        <f>F49-D50</f>
        <v>20302.996836728562</v>
      </c>
      <c r="G50" s="236">
        <f>G49+E50</f>
        <v>1027.2771647237546</v>
      </c>
      <c r="H50" s="233">
        <f t="shared" si="5"/>
        <v>45688</v>
      </c>
    </row>
    <row r="51" spans="1:9" x14ac:dyDescent="0.3">
      <c r="A51" s="233">
        <f t="shared" si="0"/>
        <v>45716</v>
      </c>
      <c r="B51" s="234">
        <v>42</v>
      </c>
      <c r="C51" s="237">
        <v>3552</v>
      </c>
      <c r="D51" s="240">
        <f>C51-E46-E47</f>
        <v>3093.2316709964175</v>
      </c>
      <c r="E51" s="236">
        <f t="shared" si="3"/>
        <v>177.75228334543596</v>
      </c>
      <c r="F51" s="236">
        <f t="shared" si="4"/>
        <v>17209.765165732144</v>
      </c>
      <c r="G51" s="236">
        <f>G50+E51-E46-E47</f>
        <v>746.26111906560834</v>
      </c>
      <c r="H51" s="233">
        <f t="shared" si="5"/>
        <v>45716</v>
      </c>
    </row>
    <row r="52" spans="1:9" x14ac:dyDescent="0.3">
      <c r="A52" s="233">
        <f t="shared" si="0"/>
        <v>45747</v>
      </c>
      <c r="B52" s="234">
        <v>43</v>
      </c>
      <c r="C52" s="237"/>
      <c r="D52" s="236">
        <v>0</v>
      </c>
      <c r="E52" s="236">
        <f t="shared" si="3"/>
        <v>149.63355237331461</v>
      </c>
      <c r="F52" s="236">
        <f t="shared" si="4"/>
        <v>17209.765165732144</v>
      </c>
      <c r="G52" s="236">
        <f>G51+E52</f>
        <v>895.89467143892296</v>
      </c>
      <c r="H52" s="233">
        <f t="shared" si="5"/>
        <v>45747</v>
      </c>
    </row>
    <row r="53" spans="1:9" x14ac:dyDescent="0.3">
      <c r="A53" s="233">
        <f t="shared" si="0"/>
        <v>45777</v>
      </c>
      <c r="B53" s="234">
        <v>44</v>
      </c>
      <c r="C53" s="237">
        <v>0</v>
      </c>
      <c r="D53" s="236">
        <v>0</v>
      </c>
      <c r="E53" s="236">
        <f t="shared" si="3"/>
        <v>150.88049864309224</v>
      </c>
      <c r="F53" s="236">
        <f t="shared" si="4"/>
        <v>17209.765165732144</v>
      </c>
      <c r="G53" s="236">
        <f>G52+E53-0.01</f>
        <v>1046.7651700820152</v>
      </c>
      <c r="H53" s="233">
        <f t="shared" si="5"/>
        <v>45777</v>
      </c>
    </row>
    <row r="54" spans="1:9" x14ac:dyDescent="0.3">
      <c r="A54" s="233">
        <f t="shared" si="0"/>
        <v>45808</v>
      </c>
      <c r="B54" s="234">
        <v>45</v>
      </c>
      <c r="C54" s="237">
        <v>18256.55</v>
      </c>
      <c r="D54" s="236">
        <v>17209.77</v>
      </c>
      <c r="E54" s="236">
        <f t="shared" si="3"/>
        <v>152.13775279845134</v>
      </c>
      <c r="F54" s="236">
        <f t="shared" si="4"/>
        <v>-4.8342678564949892E-3</v>
      </c>
      <c r="G54" s="236">
        <v>0</v>
      </c>
      <c r="H54" s="233">
        <f t="shared" si="5"/>
        <v>45808</v>
      </c>
      <c r="I54" s="356" t="s">
        <v>384</v>
      </c>
    </row>
    <row r="55" spans="1:9" x14ac:dyDescent="0.3">
      <c r="A55" s="238">
        <f t="shared" si="0"/>
        <v>45838</v>
      </c>
      <c r="B55" s="228">
        <v>46</v>
      </c>
      <c r="C55" s="239">
        <v>0</v>
      </c>
      <c r="D55" s="226">
        <f t="shared" si="2"/>
        <v>4.0285565470791575E-5</v>
      </c>
      <c r="E55" s="226">
        <f t="shared" si="3"/>
        <v>-4.0285565470791575E-5</v>
      </c>
      <c r="F55" s="226">
        <f t="shared" si="4"/>
        <v>-4.8745534219657811E-3</v>
      </c>
      <c r="G55" s="226"/>
      <c r="H55" s="238">
        <f t="shared" si="5"/>
        <v>45838</v>
      </c>
    </row>
    <row r="56" spans="1:9" x14ac:dyDescent="0.3">
      <c r="A56" s="238">
        <f t="shared" si="0"/>
        <v>45869</v>
      </c>
      <c r="B56" s="228">
        <v>47</v>
      </c>
      <c r="C56" s="239">
        <v>0</v>
      </c>
      <c r="D56" s="226">
        <f t="shared" si="2"/>
        <v>4.062127851638151E-5</v>
      </c>
      <c r="E56" s="226">
        <f t="shared" si="3"/>
        <v>-4.062127851638151E-5</v>
      </c>
      <c r="F56" s="226">
        <f t="shared" si="4"/>
        <v>-4.9151747004821623E-3</v>
      </c>
      <c r="G56" s="226"/>
      <c r="H56" s="238">
        <f t="shared" si="5"/>
        <v>45869</v>
      </c>
    </row>
    <row r="57" spans="1:9" x14ac:dyDescent="0.3">
      <c r="A57" s="238">
        <f t="shared" si="0"/>
        <v>45900</v>
      </c>
      <c r="B57" s="228">
        <v>48</v>
      </c>
      <c r="C57" s="239">
        <v>0</v>
      </c>
      <c r="D57" s="226">
        <f t="shared" si="2"/>
        <v>4.0959789170684691E-5</v>
      </c>
      <c r="E57" s="226">
        <f t="shared" si="3"/>
        <v>-4.0959789170684691E-5</v>
      </c>
      <c r="F57" s="226">
        <f t="shared" si="4"/>
        <v>-4.956134489652847E-3</v>
      </c>
      <c r="G57" s="226"/>
      <c r="H57" s="238">
        <f t="shared" si="5"/>
        <v>45900</v>
      </c>
    </row>
    <row r="58" spans="1:9" x14ac:dyDescent="0.3">
      <c r="A58" s="238">
        <f t="shared" si="0"/>
        <v>45930</v>
      </c>
      <c r="B58" s="228">
        <v>49</v>
      </c>
      <c r="C58" s="239">
        <v>0</v>
      </c>
      <c r="D58" s="226">
        <f t="shared" si="2"/>
        <v>4.1301120747107059E-5</v>
      </c>
      <c r="E58" s="226">
        <f t="shared" si="3"/>
        <v>-4.1301120747107059E-5</v>
      </c>
      <c r="F58" s="226">
        <f t="shared" si="4"/>
        <v>-4.9974356103999543E-3</v>
      </c>
      <c r="G58" s="226"/>
      <c r="H58" s="238">
        <f t="shared" si="5"/>
        <v>45930</v>
      </c>
    </row>
    <row r="59" spans="1:9" x14ac:dyDescent="0.3">
      <c r="A59" s="238">
        <f t="shared" si="0"/>
        <v>45961</v>
      </c>
      <c r="B59" s="228">
        <v>50</v>
      </c>
      <c r="C59" s="239">
        <v>0</v>
      </c>
      <c r="D59" s="226">
        <f t="shared" si="2"/>
        <v>4.1645296753332951E-5</v>
      </c>
      <c r="E59" s="226">
        <f t="shared" si="3"/>
        <v>-4.1645296753332951E-5</v>
      </c>
      <c r="F59" s="226">
        <f t="shared" si="4"/>
        <v>-5.039080907153287E-3</v>
      </c>
      <c r="G59" s="226"/>
      <c r="H59" s="238">
        <f t="shared" si="5"/>
        <v>45961</v>
      </c>
    </row>
    <row r="60" spans="1:9" x14ac:dyDescent="0.3">
      <c r="A60" s="238">
        <f t="shared" si="0"/>
        <v>45991</v>
      </c>
      <c r="B60" s="228">
        <v>51</v>
      </c>
      <c r="C60" s="239">
        <v>0</v>
      </c>
      <c r="D60" s="226">
        <f t="shared" ref="D60" si="9">C60-E60</f>
        <v>4.1992340892944055E-5</v>
      </c>
      <c r="E60" s="226">
        <f t="shared" ref="E60" si="10">(F59+G59)*(1/12)*$A$3</f>
        <v>-4.1992340892944055E-5</v>
      </c>
      <c r="F60" s="226">
        <f t="shared" ref="F60" si="11">F59-D60</f>
        <v>-5.0810732480462313E-3</v>
      </c>
      <c r="G60" s="226"/>
      <c r="H60" s="238">
        <f t="shared" si="5"/>
        <v>45991</v>
      </c>
    </row>
    <row r="61" spans="1:9" x14ac:dyDescent="0.3">
      <c r="A61" s="238">
        <f t="shared" si="0"/>
        <v>46022</v>
      </c>
      <c r="B61" s="228">
        <v>52</v>
      </c>
      <c r="C61" s="239">
        <v>0</v>
      </c>
      <c r="D61" s="226">
        <f t="shared" ref="D61" si="12">C61-E61</f>
        <v>4.2342277067051928E-5</v>
      </c>
      <c r="E61" s="226">
        <f t="shared" ref="E61:E62" si="13">(F60+G60)*(1/12)*$A$3</f>
        <v>-4.2342277067051928E-5</v>
      </c>
      <c r="F61" s="226">
        <f t="shared" ref="F61:F62" si="14">F60-D61</f>
        <v>-5.1234155251132837E-3</v>
      </c>
      <c r="G61" s="226"/>
      <c r="H61" s="238">
        <f t="shared" si="5"/>
        <v>46022</v>
      </c>
    </row>
    <row r="62" spans="1:9" x14ac:dyDescent="0.3">
      <c r="A62" s="238">
        <f t="shared" si="0"/>
        <v>46053</v>
      </c>
      <c r="B62" s="228">
        <v>53</v>
      </c>
      <c r="C62" s="239">
        <v>0</v>
      </c>
      <c r="D62" s="220">
        <f>C62-E62</f>
        <v>4.269512937594403E-5</v>
      </c>
      <c r="E62" s="226">
        <f t="shared" si="13"/>
        <v>-4.269512937594403E-5</v>
      </c>
      <c r="F62" s="226">
        <f t="shared" si="14"/>
        <v>-5.1661106544892274E-3</v>
      </c>
      <c r="G62" s="226"/>
      <c r="H62" s="238">
        <f t="shared" si="5"/>
        <v>46053</v>
      </c>
    </row>
    <row r="63" spans="1:9" x14ac:dyDescent="0.3">
      <c r="A63" s="238">
        <f t="shared" si="0"/>
        <v>46081</v>
      </c>
      <c r="B63" s="228">
        <v>54</v>
      </c>
      <c r="C63" s="239">
        <v>0</v>
      </c>
      <c r="D63" s="226">
        <f t="shared" ref="D63" si="15">C63-E63</f>
        <v>4.3050922120743562E-5</v>
      </c>
      <c r="E63" s="226">
        <f t="shared" ref="E63" si="16">(F62+G62)*(1/12)*$A$3</f>
        <v>-4.3050922120743562E-5</v>
      </c>
      <c r="F63" s="226">
        <f t="shared" ref="F63" si="17">F62-D63</f>
        <v>-5.2091615766099711E-3</v>
      </c>
      <c r="G63" s="226"/>
      <c r="H63" s="238">
        <f t="shared" si="5"/>
        <v>46081</v>
      </c>
    </row>
    <row r="64" spans="1:9" x14ac:dyDescent="0.3">
      <c r="A64" s="238">
        <f t="shared" si="0"/>
        <v>46112</v>
      </c>
      <c r="B64" s="228">
        <v>55</v>
      </c>
      <c r="C64" s="239">
        <v>0</v>
      </c>
      <c r="D64" s="226">
        <f t="shared" ref="D64" si="18">C64-E64</f>
        <v>4.3409679805083093E-5</v>
      </c>
      <c r="E64" s="226">
        <f t="shared" ref="E64" si="19">(F63+G63)*(1/12)*$A$3</f>
        <v>-4.3409679805083093E-5</v>
      </c>
      <c r="F64" s="226">
        <f t="shared" ref="F64" si="20">F63-D64</f>
        <v>-5.2525712564150543E-3</v>
      </c>
      <c r="G64" s="226"/>
      <c r="H64" s="238">
        <f t="shared" si="5"/>
        <v>46112</v>
      </c>
    </row>
    <row r="65" spans="1:7" x14ac:dyDescent="0.3">
      <c r="A65" s="238"/>
      <c r="B65" s="228"/>
      <c r="C65" s="239"/>
      <c r="D65" s="226"/>
      <c r="E65" s="226"/>
      <c r="F65" s="226"/>
      <c r="G65" s="226"/>
    </row>
    <row r="66" spans="1:7" x14ac:dyDescent="0.3">
      <c r="A66" s="238"/>
      <c r="B66" s="228"/>
      <c r="C66" s="239"/>
      <c r="D66" s="226"/>
      <c r="E66" s="226"/>
      <c r="F66" s="226"/>
      <c r="G66" s="226"/>
    </row>
    <row r="67" spans="1:7" x14ac:dyDescent="0.3">
      <c r="A67" s="238"/>
      <c r="B67" s="228"/>
      <c r="C67" s="239"/>
      <c r="D67" s="226"/>
      <c r="E67" s="226"/>
      <c r="F67" s="226"/>
      <c r="G67" s="226"/>
    </row>
    <row r="68" spans="1:7" x14ac:dyDescent="0.3">
      <c r="A68" s="238"/>
      <c r="B68" s="228"/>
      <c r="C68" s="239"/>
      <c r="D68" s="226"/>
      <c r="E68" s="226"/>
      <c r="F68" s="226"/>
      <c r="G68" s="226"/>
    </row>
    <row r="69" spans="1:7" x14ac:dyDescent="0.3">
      <c r="A69" s="238"/>
      <c r="B69" s="228"/>
      <c r="C69" s="239"/>
      <c r="D69" s="226"/>
      <c r="E69" s="226"/>
      <c r="F69" s="226"/>
      <c r="G69" s="226"/>
    </row>
    <row r="70" spans="1:7" x14ac:dyDescent="0.3">
      <c r="A70" s="238"/>
      <c r="B70" s="228"/>
      <c r="C70" s="239"/>
      <c r="D70" s="226"/>
      <c r="E70" s="226"/>
      <c r="F70" s="226"/>
      <c r="G70" s="226"/>
    </row>
    <row r="71" spans="1:7" x14ac:dyDescent="0.3">
      <c r="A71" s="238"/>
      <c r="B71" s="228"/>
      <c r="C71" s="239"/>
      <c r="D71" s="226"/>
      <c r="E71" s="226"/>
      <c r="F71" s="226"/>
      <c r="G71" s="226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4A6-7311-43BB-B740-E44A90531A1F}">
  <sheetPr>
    <tabColor rgb="FF92D050"/>
  </sheetPr>
  <dimension ref="A1:O73"/>
  <sheetViews>
    <sheetView topLeftCell="A49" workbookViewId="0">
      <selection activeCell="J79" sqref="J79"/>
    </sheetView>
  </sheetViews>
  <sheetFormatPr defaultColWidth="8.88671875" defaultRowHeight="14.4" x14ac:dyDescent="0.3"/>
  <cols>
    <col min="1" max="1" width="12.44140625" style="218" bestFit="1" customWidth="1"/>
    <col min="2" max="2" width="14.109375" style="218" bestFit="1" customWidth="1"/>
    <col min="3" max="4" width="11" style="218" bestFit="1" customWidth="1"/>
    <col min="5" max="5" width="9" style="218" bestFit="1" customWidth="1"/>
    <col min="6" max="6" width="11.5546875" style="218" bestFit="1" customWidth="1"/>
    <col min="7" max="7" width="16.6640625" style="218" bestFit="1" customWidth="1"/>
    <col min="8" max="8" width="10.6640625" style="218" bestFit="1" customWidth="1"/>
    <col min="9" max="9" width="8.88671875" style="218"/>
    <col min="10" max="10" width="12.5546875" style="218" bestFit="1" customWidth="1"/>
    <col min="11" max="11" width="11.109375" style="218" bestFit="1" customWidth="1"/>
    <col min="12" max="12" width="8.88671875" style="218"/>
    <col min="13" max="13" width="17.44140625" style="218" bestFit="1" customWidth="1"/>
    <col min="14" max="14" width="9.6640625" style="218" bestFit="1" customWidth="1"/>
    <col min="15" max="15" width="10.5546875" style="218" bestFit="1" customWidth="1"/>
    <col min="16" max="16384" width="8.88671875" style="218"/>
  </cols>
  <sheetData>
    <row r="1" spans="1:15" x14ac:dyDescent="0.3">
      <c r="A1" s="217">
        <v>185000</v>
      </c>
      <c r="D1" s="219"/>
      <c r="E1" s="219"/>
      <c r="F1" s="219"/>
      <c r="G1" s="219"/>
    </row>
    <row r="2" spans="1:15" x14ac:dyDescent="0.3">
      <c r="A2" s="218">
        <v>36</v>
      </c>
      <c r="B2" s="218" t="s">
        <v>174</v>
      </c>
      <c r="C2" s="220">
        <v>5461.92</v>
      </c>
      <c r="D2" s="219"/>
      <c r="E2" s="219"/>
      <c r="F2" s="219"/>
      <c r="G2" s="219"/>
    </row>
    <row r="3" spans="1:15" x14ac:dyDescent="0.3">
      <c r="A3" s="221">
        <v>0.04</v>
      </c>
      <c r="B3" s="218" t="s">
        <v>175</v>
      </c>
      <c r="D3" s="219"/>
      <c r="E3" s="219"/>
      <c r="F3" s="219"/>
      <c r="G3" s="219"/>
    </row>
    <row r="4" spans="1:15" x14ac:dyDescent="0.3">
      <c r="A4">
        <f>A3/12</f>
        <v>3.3333333333333335E-3</v>
      </c>
      <c r="B4" s="218" t="s">
        <v>176</v>
      </c>
      <c r="D4" s="219"/>
      <c r="E4" s="219"/>
      <c r="F4" s="219"/>
      <c r="G4" s="219"/>
    </row>
    <row r="5" spans="1:15" x14ac:dyDescent="0.3">
      <c r="A5" s="223"/>
      <c r="B5" s="223"/>
      <c r="C5" s="219"/>
      <c r="D5" s="219"/>
      <c r="E5" s="219"/>
      <c r="F5" s="219"/>
      <c r="G5" s="219"/>
      <c r="J5" s="12" t="s">
        <v>177</v>
      </c>
      <c r="K5" s="272">
        <v>45930</v>
      </c>
      <c r="L5"/>
      <c r="M5" t="s">
        <v>178</v>
      </c>
      <c r="N5" s="11">
        <f>SUMIF(H:H,"&lt;="&amp;DATE(YEAR(K5),MONTH(K5)+12,DAY(K5)),D:D)-SUMIF(H:H,"&lt;"&amp;K5+1,D:D)</f>
        <v>0</v>
      </c>
      <c r="O5" s="226"/>
    </row>
    <row r="6" spans="1:15" x14ac:dyDescent="0.3">
      <c r="A6" s="223"/>
      <c r="B6" s="223"/>
      <c r="C6" s="219"/>
      <c r="D6" s="219"/>
      <c r="E6" s="219"/>
      <c r="F6" s="219"/>
      <c r="G6" s="219"/>
      <c r="J6"/>
      <c r="K6"/>
      <c r="L6"/>
      <c r="M6" t="s">
        <v>179</v>
      </c>
      <c r="N6" s="273">
        <f>INDEX(B:F,MATCH(K5,H:H,0),5)-N5</f>
        <v>5990.5162611474416</v>
      </c>
    </row>
    <row r="7" spans="1:15" x14ac:dyDescent="0.3">
      <c r="A7" s="228"/>
      <c r="B7" s="228"/>
      <c r="C7" s="226"/>
      <c r="D7" s="226"/>
      <c r="E7" s="226"/>
      <c r="F7" s="226"/>
      <c r="G7" s="226"/>
      <c r="J7"/>
      <c r="K7"/>
      <c r="L7"/>
      <c r="M7" s="12" t="s">
        <v>7</v>
      </c>
      <c r="N7" s="370">
        <f>N6+N5</f>
        <v>5990.5162611474416</v>
      </c>
    </row>
    <row r="8" spans="1:15" x14ac:dyDescent="0.3">
      <c r="A8" s="228"/>
      <c r="B8" s="228"/>
      <c r="C8" s="230" t="s">
        <v>11</v>
      </c>
      <c r="D8" s="230" t="s">
        <v>38</v>
      </c>
      <c r="E8" s="230" t="s">
        <v>12</v>
      </c>
      <c r="F8" s="230" t="s">
        <v>180</v>
      </c>
      <c r="G8" s="230" t="s">
        <v>181</v>
      </c>
      <c r="H8" s="218" t="s">
        <v>8</v>
      </c>
      <c r="J8"/>
      <c r="K8"/>
      <c r="L8"/>
      <c r="M8" s="274" t="s">
        <v>37</v>
      </c>
      <c r="N8" s="232">
        <f>INDEX(B:F,MATCH(K5,H:H,0),5)-N7</f>
        <v>0</v>
      </c>
    </row>
    <row r="9" spans="1:15" hidden="1" x14ac:dyDescent="0.3">
      <c r="A9" s="233">
        <v>44440</v>
      </c>
      <c r="B9" s="234">
        <v>0</v>
      </c>
      <c r="C9" s="235"/>
      <c r="D9" s="236"/>
      <c r="E9" s="236"/>
      <c r="F9" s="236">
        <f>A1-C9</f>
        <v>185000</v>
      </c>
      <c r="G9" s="236"/>
      <c r="H9" s="233">
        <v>44440</v>
      </c>
    </row>
    <row r="10" spans="1:15" hidden="1" x14ac:dyDescent="0.3">
      <c r="A10" s="233">
        <v>44469</v>
      </c>
      <c r="B10" s="234">
        <v>1</v>
      </c>
      <c r="C10" s="237">
        <f>$C$2</f>
        <v>5461.92</v>
      </c>
      <c r="D10" s="236">
        <f>C10-E10</f>
        <v>4845.2533333333331</v>
      </c>
      <c r="E10" s="236">
        <f>(F9+G9)*(1/12)*$A$3</f>
        <v>616.66666666666663</v>
      </c>
      <c r="F10" s="236">
        <f>F9-D10</f>
        <v>180154.74666666667</v>
      </c>
      <c r="G10" s="236"/>
      <c r="H10" s="233">
        <v>44469</v>
      </c>
    </row>
    <row r="11" spans="1:15" hidden="1" x14ac:dyDescent="0.3">
      <c r="A11" s="233">
        <f t="shared" ref="A11:A69" si="0">EOMONTH(A10,1)</f>
        <v>44500</v>
      </c>
      <c r="B11" s="234">
        <v>2</v>
      </c>
      <c r="C11" s="237">
        <f t="shared" ref="C11:C45" si="1">$C$2</f>
        <v>5461.92</v>
      </c>
      <c r="D11" s="236">
        <f t="shared" ref="D11:D19" si="2">C11-E11</f>
        <v>4861.4041777777775</v>
      </c>
      <c r="E11" s="236">
        <f t="shared" ref="E11:E45" si="3">(F10+G10)*(1/12)*$A$3</f>
        <v>600.51582222222225</v>
      </c>
      <c r="F11" s="236">
        <f t="shared" ref="F11:F47" si="4">F10-D11</f>
        <v>175293.34248888888</v>
      </c>
      <c r="G11" s="236"/>
      <c r="H11" s="233">
        <f t="shared" ref="H11:H47" si="5">EOMONTH(H10,1)</f>
        <v>44500</v>
      </c>
    </row>
    <row r="12" spans="1:15" hidden="1" x14ac:dyDescent="0.3">
      <c r="A12" s="233">
        <f t="shared" si="0"/>
        <v>44530</v>
      </c>
      <c r="B12" s="234">
        <v>3</v>
      </c>
      <c r="C12" s="237">
        <f t="shared" si="1"/>
        <v>5461.92</v>
      </c>
      <c r="D12" s="236">
        <f t="shared" si="2"/>
        <v>4877.6088583703704</v>
      </c>
      <c r="E12" s="236">
        <f t="shared" si="3"/>
        <v>584.31114162962956</v>
      </c>
      <c r="F12" s="236">
        <f t="shared" si="4"/>
        <v>170415.73363051852</v>
      </c>
      <c r="G12" s="236"/>
      <c r="H12" s="233">
        <f t="shared" si="5"/>
        <v>44530</v>
      </c>
    </row>
    <row r="13" spans="1:15" hidden="1" x14ac:dyDescent="0.3">
      <c r="A13" s="233">
        <f t="shared" si="0"/>
        <v>44561</v>
      </c>
      <c r="B13" s="234">
        <v>4</v>
      </c>
      <c r="C13" s="237">
        <f t="shared" si="1"/>
        <v>5461.92</v>
      </c>
      <c r="D13" s="236">
        <f t="shared" si="2"/>
        <v>4893.8675545649385</v>
      </c>
      <c r="E13" s="236">
        <f t="shared" si="3"/>
        <v>568.05244543506171</v>
      </c>
      <c r="F13" s="236">
        <f t="shared" si="4"/>
        <v>165521.86607595359</v>
      </c>
      <c r="G13" s="236"/>
      <c r="H13" s="233">
        <f t="shared" si="5"/>
        <v>44561</v>
      </c>
    </row>
    <row r="14" spans="1:15" ht="15.75" hidden="1" customHeight="1" x14ac:dyDescent="0.3">
      <c r="A14" s="233">
        <f t="shared" si="0"/>
        <v>44592</v>
      </c>
      <c r="B14" s="234">
        <v>5</v>
      </c>
      <c r="C14" s="237">
        <f t="shared" si="1"/>
        <v>5461.92</v>
      </c>
      <c r="D14" s="236">
        <f t="shared" si="2"/>
        <v>4910.1804464134884</v>
      </c>
      <c r="E14" s="236">
        <f t="shared" si="3"/>
        <v>551.73955358651187</v>
      </c>
      <c r="F14" s="236">
        <f t="shared" si="4"/>
        <v>160611.68562954009</v>
      </c>
      <c r="G14" s="236"/>
      <c r="H14" s="233">
        <f t="shared" si="5"/>
        <v>44592</v>
      </c>
    </row>
    <row r="15" spans="1:15" hidden="1" x14ac:dyDescent="0.3">
      <c r="A15" s="233">
        <f t="shared" si="0"/>
        <v>44620</v>
      </c>
      <c r="B15" s="234">
        <v>6</v>
      </c>
      <c r="C15" s="237">
        <f t="shared" si="1"/>
        <v>5461.92</v>
      </c>
      <c r="D15" s="236">
        <f t="shared" si="2"/>
        <v>4926.5477145681998</v>
      </c>
      <c r="E15" s="236">
        <f t="shared" si="3"/>
        <v>535.37228543180026</v>
      </c>
      <c r="F15" s="236">
        <f t="shared" si="4"/>
        <v>155685.13791497189</v>
      </c>
      <c r="G15" s="236"/>
      <c r="H15" s="233">
        <f t="shared" si="5"/>
        <v>44620</v>
      </c>
    </row>
    <row r="16" spans="1:15" hidden="1" x14ac:dyDescent="0.3">
      <c r="A16" s="233">
        <f t="shared" si="0"/>
        <v>44651</v>
      </c>
      <c r="B16" s="234">
        <v>7</v>
      </c>
      <c r="C16" s="237">
        <f t="shared" si="1"/>
        <v>5461.92</v>
      </c>
      <c r="D16" s="236">
        <f t="shared" si="2"/>
        <v>4942.9695402834268</v>
      </c>
      <c r="E16" s="236">
        <f t="shared" si="3"/>
        <v>518.95045971657294</v>
      </c>
      <c r="F16" s="236">
        <f t="shared" si="4"/>
        <v>150742.16837468845</v>
      </c>
      <c r="G16" s="236"/>
      <c r="H16" s="233">
        <f t="shared" si="5"/>
        <v>44651</v>
      </c>
    </row>
    <row r="17" spans="1:8" hidden="1" x14ac:dyDescent="0.3">
      <c r="A17" s="233">
        <f t="shared" si="0"/>
        <v>44681</v>
      </c>
      <c r="B17" s="234">
        <v>8</v>
      </c>
      <c r="C17" s="237">
        <f t="shared" si="1"/>
        <v>5461.92</v>
      </c>
      <c r="D17" s="236">
        <f t="shared" si="2"/>
        <v>4959.4461054177054</v>
      </c>
      <c r="E17" s="236">
        <f t="shared" si="3"/>
        <v>502.4738945822948</v>
      </c>
      <c r="F17" s="236">
        <f t="shared" si="4"/>
        <v>145782.72226927074</v>
      </c>
      <c r="G17" s="236"/>
      <c r="H17" s="233">
        <f t="shared" si="5"/>
        <v>44681</v>
      </c>
    </row>
    <row r="18" spans="1:8" hidden="1" x14ac:dyDescent="0.3">
      <c r="A18" s="233">
        <f t="shared" si="0"/>
        <v>44712</v>
      </c>
      <c r="B18" s="234">
        <v>9</v>
      </c>
      <c r="C18" s="237">
        <f t="shared" si="1"/>
        <v>5461.92</v>
      </c>
      <c r="D18" s="236">
        <f t="shared" si="2"/>
        <v>4975.9775924357646</v>
      </c>
      <c r="E18" s="236">
        <f t="shared" si="3"/>
        <v>485.94240756423579</v>
      </c>
      <c r="F18" s="236">
        <f t="shared" si="4"/>
        <v>140806.74467683499</v>
      </c>
      <c r="G18" s="236"/>
      <c r="H18" s="233">
        <f t="shared" si="5"/>
        <v>44712</v>
      </c>
    </row>
    <row r="19" spans="1:8" hidden="1" x14ac:dyDescent="0.3">
      <c r="A19" s="233">
        <f t="shared" si="0"/>
        <v>44742</v>
      </c>
      <c r="B19" s="234">
        <v>10</v>
      </c>
      <c r="C19" s="237">
        <f t="shared" si="1"/>
        <v>5461.92</v>
      </c>
      <c r="D19" s="236">
        <f t="shared" si="2"/>
        <v>4992.5641844105503</v>
      </c>
      <c r="E19" s="236">
        <f t="shared" si="3"/>
        <v>469.35581558944995</v>
      </c>
      <c r="F19" s="236">
        <f t="shared" si="4"/>
        <v>135814.18049242444</v>
      </c>
      <c r="G19" s="236"/>
      <c r="H19" s="233">
        <f t="shared" si="5"/>
        <v>44742</v>
      </c>
    </row>
    <row r="20" spans="1:8" hidden="1" x14ac:dyDescent="0.3">
      <c r="A20" s="233">
        <f t="shared" si="0"/>
        <v>44773</v>
      </c>
      <c r="B20" s="234">
        <v>11</v>
      </c>
      <c r="C20" s="237">
        <v>0</v>
      </c>
      <c r="D20" s="236">
        <v>0</v>
      </c>
      <c r="E20" s="236">
        <f t="shared" si="3"/>
        <v>452.7139349747481</v>
      </c>
      <c r="F20" s="236">
        <f t="shared" si="4"/>
        <v>135814.18049242444</v>
      </c>
      <c r="G20" s="236">
        <f>E20</f>
        <v>452.7139349747481</v>
      </c>
      <c r="H20" s="233">
        <f t="shared" si="5"/>
        <v>44773</v>
      </c>
    </row>
    <row r="21" spans="1:8" hidden="1" x14ac:dyDescent="0.3">
      <c r="A21" s="233">
        <f t="shared" si="0"/>
        <v>44804</v>
      </c>
      <c r="B21" s="234">
        <v>12</v>
      </c>
      <c r="C21" s="237">
        <f t="shared" si="1"/>
        <v>5461.92</v>
      </c>
      <c r="D21" s="240">
        <f>C21-E20</f>
        <v>5009.2060650252515</v>
      </c>
      <c r="E21" s="236">
        <f t="shared" si="3"/>
        <v>454.22298142466389</v>
      </c>
      <c r="F21" s="236">
        <f t="shared" si="4"/>
        <v>130804.97442739918</v>
      </c>
      <c r="G21" s="236">
        <f>E21</f>
        <v>454.22298142466389</v>
      </c>
      <c r="H21" s="233">
        <f t="shared" si="5"/>
        <v>44804</v>
      </c>
    </row>
    <row r="22" spans="1:8" hidden="1" x14ac:dyDescent="0.3">
      <c r="A22" s="233">
        <f t="shared" si="0"/>
        <v>44834</v>
      </c>
      <c r="B22" s="234">
        <v>13</v>
      </c>
      <c r="C22" s="237">
        <f t="shared" si="1"/>
        <v>5461.92</v>
      </c>
      <c r="D22" s="240">
        <f t="shared" ref="D22:D37" si="6">C22-E21</f>
        <v>5007.6970185753362</v>
      </c>
      <c r="E22" s="236">
        <f t="shared" si="3"/>
        <v>437.53065802941279</v>
      </c>
      <c r="F22" s="236">
        <f t="shared" si="4"/>
        <v>125797.27740882385</v>
      </c>
      <c r="G22" s="236">
        <f t="shared" ref="G22:G37" si="7">E22</f>
        <v>437.53065802941279</v>
      </c>
      <c r="H22" s="233">
        <f t="shared" si="5"/>
        <v>44834</v>
      </c>
    </row>
    <row r="23" spans="1:8" hidden="1" x14ac:dyDescent="0.3">
      <c r="A23" s="233">
        <f t="shared" si="0"/>
        <v>44865</v>
      </c>
      <c r="B23" s="234">
        <v>14</v>
      </c>
      <c r="C23" s="237">
        <f t="shared" si="1"/>
        <v>5461.92</v>
      </c>
      <c r="D23" s="240">
        <f t="shared" si="6"/>
        <v>5024.3893419705873</v>
      </c>
      <c r="E23" s="236">
        <f t="shared" si="3"/>
        <v>420.78269355617755</v>
      </c>
      <c r="F23" s="236">
        <f t="shared" si="4"/>
        <v>120772.88806685327</v>
      </c>
      <c r="G23" s="236">
        <f t="shared" si="7"/>
        <v>420.78269355617755</v>
      </c>
      <c r="H23" s="233">
        <f t="shared" si="5"/>
        <v>44865</v>
      </c>
    </row>
    <row r="24" spans="1:8" hidden="1" x14ac:dyDescent="0.3">
      <c r="A24" s="233">
        <f t="shared" si="0"/>
        <v>44895</v>
      </c>
      <c r="B24" s="234">
        <v>15</v>
      </c>
      <c r="C24" s="237">
        <f t="shared" si="1"/>
        <v>5461.92</v>
      </c>
      <c r="D24" s="240">
        <f t="shared" si="6"/>
        <v>5041.1373064438221</v>
      </c>
      <c r="E24" s="236">
        <f t="shared" si="3"/>
        <v>403.97890253469814</v>
      </c>
      <c r="F24" s="236">
        <f t="shared" si="4"/>
        <v>115731.75076040944</v>
      </c>
      <c r="G24" s="236">
        <f t="shared" si="7"/>
        <v>403.97890253469814</v>
      </c>
      <c r="H24" s="233">
        <f t="shared" si="5"/>
        <v>44895</v>
      </c>
    </row>
    <row r="25" spans="1:8" x14ac:dyDescent="0.3">
      <c r="A25" s="233">
        <f t="shared" si="0"/>
        <v>44926</v>
      </c>
      <c r="B25" s="234">
        <v>16</v>
      </c>
      <c r="C25" s="237">
        <f t="shared" si="1"/>
        <v>5461.92</v>
      </c>
      <c r="D25" s="240">
        <f t="shared" si="6"/>
        <v>5057.9410974653019</v>
      </c>
      <c r="E25" s="236">
        <f t="shared" si="3"/>
        <v>387.11909887648045</v>
      </c>
      <c r="F25" s="236">
        <f t="shared" si="4"/>
        <v>110673.80966294414</v>
      </c>
      <c r="G25" s="236">
        <f t="shared" si="7"/>
        <v>387.11909887648045</v>
      </c>
      <c r="H25" s="233">
        <f t="shared" si="5"/>
        <v>44926</v>
      </c>
    </row>
    <row r="26" spans="1:8" x14ac:dyDescent="0.3">
      <c r="A26" s="233">
        <f t="shared" si="0"/>
        <v>44957</v>
      </c>
      <c r="B26" s="234">
        <v>17</v>
      </c>
      <c r="C26" s="237">
        <f t="shared" si="1"/>
        <v>5461.92</v>
      </c>
      <c r="D26" s="240">
        <f t="shared" si="6"/>
        <v>5074.8009011235199</v>
      </c>
      <c r="E26" s="236">
        <f t="shared" si="3"/>
        <v>370.20309587273545</v>
      </c>
      <c r="F26" s="236">
        <f t="shared" si="4"/>
        <v>105599.00876182062</v>
      </c>
      <c r="G26" s="236">
        <f t="shared" si="7"/>
        <v>370.20309587273545</v>
      </c>
      <c r="H26" s="233">
        <f t="shared" si="5"/>
        <v>44957</v>
      </c>
    </row>
    <row r="27" spans="1:8" x14ac:dyDescent="0.3">
      <c r="A27" s="233">
        <f t="shared" si="0"/>
        <v>44985</v>
      </c>
      <c r="B27" s="234">
        <v>18</v>
      </c>
      <c r="C27" s="237">
        <f t="shared" si="1"/>
        <v>5461.92</v>
      </c>
      <c r="D27" s="240">
        <f t="shared" si="6"/>
        <v>5091.7169041272646</v>
      </c>
      <c r="E27" s="236">
        <f t="shared" si="3"/>
        <v>353.23070619231117</v>
      </c>
      <c r="F27" s="236">
        <f t="shared" si="4"/>
        <v>100507.29185769334</v>
      </c>
      <c r="G27" s="236">
        <f t="shared" si="7"/>
        <v>353.23070619231117</v>
      </c>
      <c r="H27" s="233">
        <f t="shared" si="5"/>
        <v>44985</v>
      </c>
    </row>
    <row r="28" spans="1:8" x14ac:dyDescent="0.3">
      <c r="A28" s="233">
        <f t="shared" si="0"/>
        <v>45016</v>
      </c>
      <c r="B28" s="234">
        <v>19</v>
      </c>
      <c r="C28" s="237">
        <f t="shared" si="1"/>
        <v>5461.92</v>
      </c>
      <c r="D28" s="240">
        <f t="shared" si="6"/>
        <v>5108.689293807689</v>
      </c>
      <c r="E28" s="236">
        <f t="shared" si="3"/>
        <v>336.20174187961879</v>
      </c>
      <c r="F28" s="236">
        <f t="shared" si="4"/>
        <v>95398.602563885652</v>
      </c>
      <c r="G28" s="236">
        <f t="shared" si="7"/>
        <v>336.20174187961879</v>
      </c>
      <c r="H28" s="233">
        <f t="shared" si="5"/>
        <v>45016</v>
      </c>
    </row>
    <row r="29" spans="1:8" x14ac:dyDescent="0.3">
      <c r="A29" s="233">
        <f t="shared" si="0"/>
        <v>45046</v>
      </c>
      <c r="B29" s="234">
        <v>20</v>
      </c>
      <c r="C29" s="237">
        <f t="shared" si="1"/>
        <v>5461.92</v>
      </c>
      <c r="D29" s="240">
        <f t="shared" si="6"/>
        <v>5125.7182581203815</v>
      </c>
      <c r="E29" s="236">
        <f t="shared" si="3"/>
        <v>319.11601435255091</v>
      </c>
      <c r="F29" s="236">
        <f t="shared" si="4"/>
        <v>90272.88430576527</v>
      </c>
      <c r="G29" s="236">
        <f t="shared" si="7"/>
        <v>319.11601435255091</v>
      </c>
      <c r="H29" s="233">
        <f t="shared" si="5"/>
        <v>45046</v>
      </c>
    </row>
    <row r="30" spans="1:8" x14ac:dyDescent="0.3">
      <c r="A30" s="233">
        <f t="shared" si="0"/>
        <v>45077</v>
      </c>
      <c r="B30" s="234">
        <v>21</v>
      </c>
      <c r="C30" s="237">
        <f t="shared" si="1"/>
        <v>5461.92</v>
      </c>
      <c r="D30" s="240">
        <f t="shared" si="6"/>
        <v>5142.8039856474488</v>
      </c>
      <c r="E30" s="236">
        <f t="shared" si="3"/>
        <v>301.97333440039273</v>
      </c>
      <c r="F30" s="236">
        <f t="shared" si="4"/>
        <v>85130.080320117821</v>
      </c>
      <c r="G30" s="236">
        <f t="shared" si="7"/>
        <v>301.97333440039273</v>
      </c>
      <c r="H30" s="233">
        <f t="shared" si="5"/>
        <v>45077</v>
      </c>
    </row>
    <row r="31" spans="1:8" x14ac:dyDescent="0.3">
      <c r="A31" s="233">
        <f t="shared" si="0"/>
        <v>45107</v>
      </c>
      <c r="B31" s="234">
        <v>22</v>
      </c>
      <c r="C31" s="237">
        <f t="shared" si="1"/>
        <v>5461.92</v>
      </c>
      <c r="D31" s="240">
        <f t="shared" si="6"/>
        <v>5159.9466655996075</v>
      </c>
      <c r="E31" s="236">
        <f t="shared" si="3"/>
        <v>284.77351218172737</v>
      </c>
      <c r="F31" s="236">
        <f t="shared" si="4"/>
        <v>79970.133654518213</v>
      </c>
      <c r="G31" s="236">
        <f t="shared" si="7"/>
        <v>284.77351218172737</v>
      </c>
      <c r="H31" s="233">
        <f t="shared" si="5"/>
        <v>45107</v>
      </c>
    </row>
    <row r="32" spans="1:8" x14ac:dyDescent="0.3">
      <c r="A32" s="233">
        <f t="shared" si="0"/>
        <v>45138</v>
      </c>
      <c r="B32" s="234">
        <v>23</v>
      </c>
      <c r="C32" s="237">
        <f t="shared" si="1"/>
        <v>5461.92</v>
      </c>
      <c r="D32" s="240">
        <f t="shared" si="6"/>
        <v>5177.1464878182724</v>
      </c>
      <c r="E32" s="236">
        <f t="shared" si="3"/>
        <v>267.51635722233311</v>
      </c>
      <c r="F32" s="236">
        <f t="shared" si="4"/>
        <v>74792.987166699939</v>
      </c>
      <c r="G32" s="236">
        <f t="shared" si="7"/>
        <v>267.51635722233311</v>
      </c>
      <c r="H32" s="233">
        <f t="shared" si="5"/>
        <v>45138</v>
      </c>
    </row>
    <row r="33" spans="1:8" x14ac:dyDescent="0.3">
      <c r="A33" s="233">
        <f t="shared" si="0"/>
        <v>45169</v>
      </c>
      <c r="B33" s="234">
        <v>24</v>
      </c>
      <c r="C33" s="237">
        <f t="shared" si="1"/>
        <v>5461.92</v>
      </c>
      <c r="D33" s="240">
        <f t="shared" si="6"/>
        <v>5194.4036427776673</v>
      </c>
      <c r="E33" s="236">
        <f t="shared" si="3"/>
        <v>250.20167841307426</v>
      </c>
      <c r="F33" s="236">
        <f t="shared" si="4"/>
        <v>69598.583523922265</v>
      </c>
      <c r="G33" s="236">
        <f t="shared" si="7"/>
        <v>250.20167841307426</v>
      </c>
      <c r="H33" s="233">
        <f t="shared" si="5"/>
        <v>45169</v>
      </c>
    </row>
    <row r="34" spans="1:8" x14ac:dyDescent="0.3">
      <c r="A34" s="233">
        <f t="shared" si="0"/>
        <v>45199</v>
      </c>
      <c r="B34" s="234">
        <v>25</v>
      </c>
      <c r="C34" s="237">
        <f t="shared" si="1"/>
        <v>5461.92</v>
      </c>
      <c r="D34" s="240">
        <f t="shared" si="6"/>
        <v>5211.7183215869254</v>
      </c>
      <c r="E34" s="236">
        <f t="shared" si="3"/>
        <v>232.82928400778445</v>
      </c>
      <c r="F34" s="236">
        <f t="shared" si="4"/>
        <v>64386.865202335342</v>
      </c>
      <c r="G34" s="236">
        <f t="shared" si="7"/>
        <v>232.82928400778445</v>
      </c>
      <c r="H34" s="233">
        <f t="shared" si="5"/>
        <v>45199</v>
      </c>
    </row>
    <row r="35" spans="1:8" x14ac:dyDescent="0.3">
      <c r="A35" s="233">
        <f t="shared" si="0"/>
        <v>45230</v>
      </c>
      <c r="B35" s="234">
        <v>26</v>
      </c>
      <c r="C35" s="237">
        <f t="shared" si="1"/>
        <v>5461.92</v>
      </c>
      <c r="D35" s="240">
        <f t="shared" si="6"/>
        <v>5229.0907159922153</v>
      </c>
      <c r="E35" s="236">
        <f t="shared" si="3"/>
        <v>215.39898162114378</v>
      </c>
      <c r="F35" s="236">
        <f t="shared" si="4"/>
        <v>59157.774486343129</v>
      </c>
      <c r="G35" s="236">
        <f t="shared" si="7"/>
        <v>215.39898162114378</v>
      </c>
      <c r="H35" s="233">
        <f t="shared" si="5"/>
        <v>45230</v>
      </c>
    </row>
    <row r="36" spans="1:8" x14ac:dyDescent="0.3">
      <c r="A36" s="233">
        <f t="shared" si="0"/>
        <v>45260</v>
      </c>
      <c r="B36" s="234">
        <v>27</v>
      </c>
      <c r="C36" s="237">
        <f t="shared" si="1"/>
        <v>5461.92</v>
      </c>
      <c r="D36" s="240">
        <f t="shared" si="6"/>
        <v>5246.5210183788568</v>
      </c>
      <c r="E36" s="236">
        <f t="shared" si="3"/>
        <v>197.91057822654759</v>
      </c>
      <c r="F36" s="236">
        <f t="shared" si="4"/>
        <v>53911.25346796427</v>
      </c>
      <c r="G36" s="236">
        <f t="shared" si="7"/>
        <v>197.91057822654759</v>
      </c>
      <c r="H36" s="233">
        <f t="shared" si="5"/>
        <v>45260</v>
      </c>
    </row>
    <row r="37" spans="1:8" x14ac:dyDescent="0.3">
      <c r="A37" s="233">
        <f t="shared" si="0"/>
        <v>45291</v>
      </c>
      <c r="B37" s="234">
        <v>28</v>
      </c>
      <c r="C37" s="237">
        <f t="shared" si="1"/>
        <v>5461.92</v>
      </c>
      <c r="D37" s="240">
        <f t="shared" si="6"/>
        <v>5264.0094217734522</v>
      </c>
      <c r="E37" s="236">
        <f t="shared" si="3"/>
        <v>180.36388015396938</v>
      </c>
      <c r="F37" s="236">
        <f t="shared" si="4"/>
        <v>48647.244046190819</v>
      </c>
      <c r="G37" s="236">
        <f t="shared" si="7"/>
        <v>180.36388015396938</v>
      </c>
      <c r="H37" s="233">
        <f t="shared" si="5"/>
        <v>45291</v>
      </c>
    </row>
    <row r="38" spans="1:8" x14ac:dyDescent="0.3">
      <c r="A38" s="233">
        <f t="shared" si="0"/>
        <v>45322</v>
      </c>
      <c r="B38" s="234">
        <v>29</v>
      </c>
      <c r="C38" s="237">
        <v>0</v>
      </c>
      <c r="D38" s="236">
        <v>0</v>
      </c>
      <c r="E38" s="236">
        <f t="shared" si="3"/>
        <v>162.75869308781597</v>
      </c>
      <c r="F38" s="236">
        <f t="shared" si="4"/>
        <v>48647.244046190819</v>
      </c>
      <c r="G38" s="236">
        <f>G37+E38</f>
        <v>343.12257324178535</v>
      </c>
      <c r="H38" s="233">
        <f t="shared" si="5"/>
        <v>45322</v>
      </c>
    </row>
    <row r="39" spans="1:8" x14ac:dyDescent="0.3">
      <c r="A39" s="233">
        <f t="shared" si="0"/>
        <v>45351</v>
      </c>
      <c r="B39" s="234">
        <v>30</v>
      </c>
      <c r="C39" s="237">
        <f t="shared" si="1"/>
        <v>5461.92</v>
      </c>
      <c r="D39" s="240">
        <f>C39-E37</f>
        <v>5281.5561198460309</v>
      </c>
      <c r="E39" s="236">
        <f t="shared" si="3"/>
        <v>163.30122206477537</v>
      </c>
      <c r="F39" s="236">
        <f t="shared" si="4"/>
        <v>43365.687926344792</v>
      </c>
      <c r="G39" s="236">
        <f>E39+E38</f>
        <v>326.05991515259132</v>
      </c>
      <c r="H39" s="233">
        <f t="shared" si="5"/>
        <v>45351</v>
      </c>
    </row>
    <row r="40" spans="1:8" x14ac:dyDescent="0.3">
      <c r="A40" s="233">
        <f t="shared" si="0"/>
        <v>45382</v>
      </c>
      <c r="B40" s="234">
        <v>31</v>
      </c>
      <c r="C40" s="237">
        <f t="shared" si="1"/>
        <v>5461.92</v>
      </c>
      <c r="D40" s="240">
        <f t="shared" ref="D40:D41" si="8">C40-E38</f>
        <v>5299.161306912184</v>
      </c>
      <c r="E40" s="236">
        <f t="shared" si="3"/>
        <v>145.63915947165793</v>
      </c>
      <c r="F40" s="236">
        <f t="shared" si="4"/>
        <v>38066.52661943261</v>
      </c>
      <c r="G40" s="236">
        <f t="shared" ref="G40:G41" si="9">E40+E39</f>
        <v>308.94038153643328</v>
      </c>
      <c r="H40" s="233">
        <f t="shared" si="5"/>
        <v>45382</v>
      </c>
    </row>
    <row r="41" spans="1:8" x14ac:dyDescent="0.3">
      <c r="A41" s="233">
        <f t="shared" si="0"/>
        <v>45412</v>
      </c>
      <c r="B41" s="234">
        <v>32</v>
      </c>
      <c r="C41" s="237">
        <f t="shared" si="1"/>
        <v>5461.92</v>
      </c>
      <c r="D41" s="240">
        <f t="shared" si="8"/>
        <v>5298.6187779352249</v>
      </c>
      <c r="E41" s="236">
        <f t="shared" si="3"/>
        <v>127.91822333656349</v>
      </c>
      <c r="F41" s="236">
        <f t="shared" si="4"/>
        <v>32767.907841497385</v>
      </c>
      <c r="G41" s="236">
        <f t="shared" si="9"/>
        <v>273.5573828082214</v>
      </c>
      <c r="H41" s="233">
        <f t="shared" si="5"/>
        <v>45412</v>
      </c>
    </row>
    <row r="42" spans="1:8" x14ac:dyDescent="0.3">
      <c r="A42" s="233">
        <f t="shared" si="0"/>
        <v>45443</v>
      </c>
      <c r="B42" s="234">
        <v>33</v>
      </c>
      <c r="C42" s="237">
        <f t="shared" si="1"/>
        <v>5461.92</v>
      </c>
      <c r="D42" s="240">
        <f>C42-E40</f>
        <v>5316.2808405283422</v>
      </c>
      <c r="E42" s="236">
        <f t="shared" si="3"/>
        <v>110.138217414352</v>
      </c>
      <c r="F42" s="236">
        <f t="shared" si="4"/>
        <v>27451.627000969042</v>
      </c>
      <c r="G42" s="236">
        <f>G41+E42-E40</f>
        <v>238.05644075091544</v>
      </c>
      <c r="H42" s="233">
        <f t="shared" si="5"/>
        <v>45443</v>
      </c>
    </row>
    <row r="43" spans="1:8" x14ac:dyDescent="0.3">
      <c r="A43" s="233">
        <f t="shared" si="0"/>
        <v>45473</v>
      </c>
      <c r="B43" s="234">
        <v>34</v>
      </c>
      <c r="C43" s="237">
        <v>10923.82</v>
      </c>
      <c r="D43" s="240">
        <f>C43-E42-E41</f>
        <v>10685.763559249084</v>
      </c>
      <c r="E43" s="236">
        <f t="shared" si="3"/>
        <v>92.298944805733186</v>
      </c>
      <c r="F43" s="236">
        <f t="shared" si="4"/>
        <v>16765.863441719957</v>
      </c>
      <c r="G43" s="236">
        <f>E43</f>
        <v>92.298944805733186</v>
      </c>
      <c r="H43" s="233">
        <f t="shared" si="5"/>
        <v>45473</v>
      </c>
    </row>
    <row r="44" spans="1:8" x14ac:dyDescent="0.3">
      <c r="A44" s="233">
        <f t="shared" si="0"/>
        <v>45504</v>
      </c>
      <c r="B44" s="234">
        <v>35</v>
      </c>
      <c r="C44" s="237">
        <f t="shared" si="1"/>
        <v>5461.92</v>
      </c>
      <c r="D44" s="240">
        <f>C44-E43</f>
        <v>5369.6210551942668</v>
      </c>
      <c r="E44" s="236">
        <f t="shared" si="3"/>
        <v>56.1938746217523</v>
      </c>
      <c r="F44" s="236">
        <f t="shared" si="4"/>
        <v>11396.24238652569</v>
      </c>
      <c r="G44" s="236">
        <f t="shared" ref="G44:G45" si="10">E44</f>
        <v>56.1938746217523</v>
      </c>
      <c r="H44" s="233">
        <f t="shared" si="5"/>
        <v>45504</v>
      </c>
    </row>
    <row r="45" spans="1:8" x14ac:dyDescent="0.3">
      <c r="A45" s="233">
        <f t="shared" si="0"/>
        <v>45535</v>
      </c>
      <c r="B45" s="234">
        <v>36</v>
      </c>
      <c r="C45" s="237">
        <f t="shared" si="1"/>
        <v>5461.92</v>
      </c>
      <c r="D45" s="240">
        <f>C45-E44</f>
        <v>5405.7261253782481</v>
      </c>
      <c r="E45" s="236">
        <f t="shared" si="3"/>
        <v>38.174787537158139</v>
      </c>
      <c r="F45" s="236">
        <f t="shared" si="4"/>
        <v>5990.5162611474416</v>
      </c>
      <c r="G45" s="236">
        <f t="shared" si="10"/>
        <v>38.174787537158139</v>
      </c>
      <c r="H45" s="233">
        <f t="shared" si="5"/>
        <v>45535</v>
      </c>
    </row>
    <row r="46" spans="1:8" x14ac:dyDescent="0.3">
      <c r="A46" s="233">
        <f t="shared" si="0"/>
        <v>45565</v>
      </c>
      <c r="B46" s="234">
        <v>37</v>
      </c>
      <c r="C46" s="237">
        <v>0</v>
      </c>
      <c r="D46" s="240"/>
      <c r="E46" s="236">
        <f>(F45+G45)*(1/12)*$A$3</f>
        <v>20.095636828948667</v>
      </c>
      <c r="F46" s="236">
        <f t="shared" si="4"/>
        <v>5990.5162611474416</v>
      </c>
      <c r="G46" s="236">
        <f t="shared" ref="G46:G61" si="11">G45+E46</f>
        <v>58.270424366106809</v>
      </c>
      <c r="H46" s="233">
        <f t="shared" si="5"/>
        <v>45565</v>
      </c>
    </row>
    <row r="47" spans="1:8" x14ac:dyDescent="0.3">
      <c r="A47" s="233">
        <f t="shared" si="0"/>
        <v>45596</v>
      </c>
      <c r="B47" s="234">
        <v>38</v>
      </c>
      <c r="C47" s="237">
        <v>0</v>
      </c>
      <c r="D47" s="240"/>
      <c r="E47" s="236">
        <f t="shared" ref="E47" si="12">(F46+G46)*(1/12)*$A$3</f>
        <v>20.16262228504516</v>
      </c>
      <c r="F47" s="236">
        <f t="shared" si="4"/>
        <v>5990.5162611474416</v>
      </c>
      <c r="G47" s="236">
        <f t="shared" si="11"/>
        <v>78.433046651151969</v>
      </c>
      <c r="H47" s="233">
        <f t="shared" si="5"/>
        <v>45596</v>
      </c>
    </row>
    <row r="48" spans="1:8" x14ac:dyDescent="0.3">
      <c r="A48" s="233">
        <f t="shared" si="0"/>
        <v>45626</v>
      </c>
      <c r="B48" s="234">
        <v>39</v>
      </c>
      <c r="C48" s="284">
        <v>0</v>
      </c>
      <c r="D48" s="240">
        <v>0</v>
      </c>
      <c r="E48" s="236">
        <f>(F47+G47)*(1/12)*$A$3</f>
        <v>20.22983102599531</v>
      </c>
      <c r="F48" s="236">
        <f>F47-D48</f>
        <v>5990.5162611474416</v>
      </c>
      <c r="G48" s="236">
        <f t="shared" si="11"/>
        <v>98.662877677147279</v>
      </c>
      <c r="H48" s="233">
        <f>EOMONTH(H47,1)</f>
        <v>45626</v>
      </c>
    </row>
    <row r="49" spans="1:8" x14ac:dyDescent="0.3">
      <c r="A49" s="233">
        <f t="shared" si="0"/>
        <v>45657</v>
      </c>
      <c r="B49" s="234">
        <v>40</v>
      </c>
      <c r="C49" s="284">
        <v>0</v>
      </c>
      <c r="D49" s="240">
        <v>0</v>
      </c>
      <c r="E49" s="236">
        <f t="shared" ref="E49:E51" si="13">(F48+G48)*(1/12)*$A$3</f>
        <v>20.297263796081964</v>
      </c>
      <c r="F49" s="236">
        <f>F48-D49</f>
        <v>5990.5162611474416</v>
      </c>
      <c r="G49" s="236">
        <f t="shared" si="11"/>
        <v>118.96014147322924</v>
      </c>
      <c r="H49" s="233">
        <f>EOMONTH(H48,1)</f>
        <v>45657</v>
      </c>
    </row>
    <row r="50" spans="1:8" x14ac:dyDescent="0.3">
      <c r="A50" s="233">
        <f t="shared" si="0"/>
        <v>45688</v>
      </c>
      <c r="B50" s="234">
        <v>41</v>
      </c>
      <c r="C50" s="237">
        <v>0</v>
      </c>
      <c r="D50" s="240">
        <v>0</v>
      </c>
      <c r="E50" s="236">
        <f t="shared" si="13"/>
        <v>20.364921342068904</v>
      </c>
      <c r="F50" s="236">
        <f>F49-D50</f>
        <v>5990.5162611474416</v>
      </c>
      <c r="G50" s="236">
        <f t="shared" si="11"/>
        <v>139.32506281529814</v>
      </c>
      <c r="H50" s="233">
        <f>EOMONTH(H49,1)</f>
        <v>45688</v>
      </c>
    </row>
    <row r="51" spans="1:8" x14ac:dyDescent="0.3">
      <c r="A51" s="233">
        <f t="shared" si="0"/>
        <v>45716</v>
      </c>
      <c r="B51" s="234">
        <v>42</v>
      </c>
      <c r="C51" s="284">
        <v>0</v>
      </c>
      <c r="D51" s="240">
        <v>0</v>
      </c>
      <c r="E51" s="236">
        <f t="shared" si="13"/>
        <v>20.432804413209134</v>
      </c>
      <c r="F51" s="236">
        <f t="shared" ref="F51:F58" si="14">F50-D51</f>
        <v>5990.5162611474416</v>
      </c>
      <c r="G51" s="236">
        <f t="shared" si="11"/>
        <v>159.75786722850728</v>
      </c>
      <c r="H51" s="233">
        <f t="shared" ref="H51:H58" si="15">EOMONTH(H50,1)</f>
        <v>45716</v>
      </c>
    </row>
    <row r="52" spans="1:8" x14ac:dyDescent="0.3">
      <c r="A52" s="233">
        <f t="shared" si="0"/>
        <v>45747</v>
      </c>
      <c r="B52" s="234">
        <v>43</v>
      </c>
      <c r="C52" s="284">
        <v>0</v>
      </c>
      <c r="D52" s="240">
        <v>0</v>
      </c>
      <c r="E52" s="236">
        <f>(F51+G51)*(1/12)*$A$3</f>
        <v>20.500913761253159</v>
      </c>
      <c r="F52" s="236">
        <f t="shared" si="14"/>
        <v>5990.5162611474416</v>
      </c>
      <c r="G52" s="236">
        <f t="shared" si="11"/>
        <v>180.25878098976045</v>
      </c>
      <c r="H52" s="233">
        <f t="shared" si="15"/>
        <v>45747</v>
      </c>
    </row>
    <row r="53" spans="1:8" x14ac:dyDescent="0.3">
      <c r="A53" s="233">
        <f t="shared" si="0"/>
        <v>45777</v>
      </c>
      <c r="B53" s="234">
        <v>44</v>
      </c>
      <c r="C53" s="237">
        <v>0</v>
      </c>
      <c r="D53" s="240">
        <v>0</v>
      </c>
      <c r="E53" s="236">
        <f t="shared" ref="E53:E58" si="16">(F52+G52)*(1/12)*$A$3</f>
        <v>20.569250140457338</v>
      </c>
      <c r="F53" s="236">
        <f t="shared" si="14"/>
        <v>5990.5162611474416</v>
      </c>
      <c r="G53" s="236">
        <f t="shared" si="11"/>
        <v>200.82803113021779</v>
      </c>
      <c r="H53" s="233">
        <f t="shared" si="15"/>
        <v>45777</v>
      </c>
    </row>
    <row r="54" spans="1:8" x14ac:dyDescent="0.3">
      <c r="A54" s="233">
        <f t="shared" si="0"/>
        <v>45808</v>
      </c>
      <c r="B54" s="234">
        <v>45</v>
      </c>
      <c r="C54" s="237">
        <v>0</v>
      </c>
      <c r="D54" s="240">
        <v>0</v>
      </c>
      <c r="E54" s="236">
        <f t="shared" si="16"/>
        <v>20.637814307592198</v>
      </c>
      <c r="F54" s="236">
        <f t="shared" si="14"/>
        <v>5990.5162611474416</v>
      </c>
      <c r="G54" s="236">
        <f t="shared" si="11"/>
        <v>221.46584543781</v>
      </c>
      <c r="H54" s="233">
        <f t="shared" si="15"/>
        <v>45808</v>
      </c>
    </row>
    <row r="55" spans="1:8" x14ac:dyDescent="0.3">
      <c r="A55" s="233">
        <f t="shared" si="0"/>
        <v>45838</v>
      </c>
      <c r="B55" s="234">
        <v>46</v>
      </c>
      <c r="C55" s="237">
        <v>0</v>
      </c>
      <c r="D55" s="240">
        <v>0</v>
      </c>
      <c r="E55" s="236">
        <f t="shared" si="16"/>
        <v>20.706607021950841</v>
      </c>
      <c r="F55" s="236">
        <f t="shared" si="14"/>
        <v>5990.5162611474416</v>
      </c>
      <c r="G55" s="236">
        <f t="shared" si="11"/>
        <v>242.17245245976085</v>
      </c>
      <c r="H55" s="233">
        <f t="shared" si="15"/>
        <v>45838</v>
      </c>
    </row>
    <row r="56" spans="1:8" x14ac:dyDescent="0.3">
      <c r="A56" s="233">
        <f t="shared" si="0"/>
        <v>45869</v>
      </c>
      <c r="B56" s="234">
        <v>47</v>
      </c>
      <c r="C56" s="237">
        <v>0</v>
      </c>
      <c r="D56" s="240">
        <v>0</v>
      </c>
      <c r="E56" s="236">
        <f t="shared" si="16"/>
        <v>20.775629045357341</v>
      </c>
      <c r="F56" s="236">
        <f t="shared" si="14"/>
        <v>5990.5162611474416</v>
      </c>
      <c r="G56" s="236">
        <f t="shared" si="11"/>
        <v>262.94808150511818</v>
      </c>
      <c r="H56" s="233">
        <f t="shared" si="15"/>
        <v>45869</v>
      </c>
    </row>
    <row r="57" spans="1:8" x14ac:dyDescent="0.3">
      <c r="A57" s="233">
        <f t="shared" si="0"/>
        <v>45900</v>
      </c>
      <c r="B57" s="234">
        <v>48</v>
      </c>
      <c r="C57" s="237">
        <v>0</v>
      </c>
      <c r="D57" s="240">
        <v>0</v>
      </c>
      <c r="E57" s="236">
        <f t="shared" si="16"/>
        <v>20.8448811421752</v>
      </c>
      <c r="F57" s="236">
        <f t="shared" si="14"/>
        <v>5990.5162611474416</v>
      </c>
      <c r="G57" s="236">
        <f t="shared" si="11"/>
        <v>283.79296264729339</v>
      </c>
      <c r="H57" s="233">
        <f t="shared" si="15"/>
        <v>45900</v>
      </c>
    </row>
    <row r="58" spans="1:8" x14ac:dyDescent="0.3">
      <c r="A58" s="233">
        <f t="shared" si="0"/>
        <v>45930</v>
      </c>
      <c r="B58" s="234">
        <v>49</v>
      </c>
      <c r="C58" s="284">
        <v>0</v>
      </c>
      <c r="D58" s="240">
        <v>0</v>
      </c>
      <c r="E58" s="236">
        <f t="shared" si="16"/>
        <v>20.914364079315785</v>
      </c>
      <c r="F58" s="236">
        <f t="shared" si="14"/>
        <v>5990.5162611474416</v>
      </c>
      <c r="G58" s="236">
        <f t="shared" si="11"/>
        <v>304.70732672660915</v>
      </c>
      <c r="H58" s="233">
        <f t="shared" si="15"/>
        <v>45930</v>
      </c>
    </row>
    <row r="59" spans="1:8" x14ac:dyDescent="0.3">
      <c r="A59" s="233">
        <f t="shared" si="0"/>
        <v>45961</v>
      </c>
      <c r="B59" s="234">
        <v>50</v>
      </c>
      <c r="C59" s="284">
        <v>0</v>
      </c>
      <c r="D59" s="240">
        <v>0</v>
      </c>
      <c r="E59" s="236">
        <f t="shared" ref="E59:E69" si="17">(F58+G58)*(1/12)*$A$3</f>
        <v>20.984078626246834</v>
      </c>
      <c r="F59" s="236">
        <f t="shared" ref="F59:F69" si="18">F58-D59</f>
        <v>5990.5162611474416</v>
      </c>
      <c r="G59" s="236">
        <f t="shared" si="11"/>
        <v>325.69140535285601</v>
      </c>
      <c r="H59" s="233">
        <f t="shared" ref="H59:H69" si="19">EOMONTH(H58,1)</f>
        <v>45961</v>
      </c>
    </row>
    <row r="60" spans="1:8" x14ac:dyDescent="0.3">
      <c r="A60" s="233">
        <f t="shared" si="0"/>
        <v>45991</v>
      </c>
      <c r="B60" s="234">
        <v>51</v>
      </c>
      <c r="C60" s="284">
        <v>0</v>
      </c>
      <c r="D60" s="240">
        <v>0</v>
      </c>
      <c r="E60" s="236">
        <f t="shared" si="17"/>
        <v>21.05402555500099</v>
      </c>
      <c r="F60" s="236">
        <f t="shared" si="18"/>
        <v>5990.5162611474416</v>
      </c>
      <c r="G60" s="236">
        <f t="shared" si="11"/>
        <v>346.74543090785698</v>
      </c>
      <c r="H60" s="233">
        <f t="shared" si="19"/>
        <v>45991</v>
      </c>
    </row>
    <row r="61" spans="1:8" x14ac:dyDescent="0.3">
      <c r="A61" s="233">
        <f t="shared" si="0"/>
        <v>46022</v>
      </c>
      <c r="B61" s="234">
        <v>52</v>
      </c>
      <c r="C61" s="284">
        <v>0</v>
      </c>
      <c r="D61" s="240">
        <v>0</v>
      </c>
      <c r="E61" s="236">
        <f t="shared" si="17"/>
        <v>21.124205640184329</v>
      </c>
      <c r="F61" s="236">
        <f t="shared" si="18"/>
        <v>5990.5162611474416</v>
      </c>
      <c r="G61" s="236">
        <f t="shared" si="11"/>
        <v>367.86963654804129</v>
      </c>
      <c r="H61" s="233">
        <f t="shared" si="19"/>
        <v>46022</v>
      </c>
    </row>
    <row r="62" spans="1:8" x14ac:dyDescent="0.3">
      <c r="A62" s="238">
        <f t="shared" si="0"/>
        <v>46053</v>
      </c>
      <c r="B62" s="228">
        <v>53</v>
      </c>
      <c r="C62" s="357">
        <v>0</v>
      </c>
      <c r="D62" s="220">
        <v>0</v>
      </c>
      <c r="E62" s="226">
        <f t="shared" si="17"/>
        <v>21.194619658984941</v>
      </c>
      <c r="F62" s="226">
        <f t="shared" si="18"/>
        <v>5990.5162611474416</v>
      </c>
      <c r="G62" s="226"/>
      <c r="H62" s="238">
        <f t="shared" si="19"/>
        <v>46053</v>
      </c>
    </row>
    <row r="63" spans="1:8" x14ac:dyDescent="0.3">
      <c r="A63" s="238">
        <f t="shared" si="0"/>
        <v>46081</v>
      </c>
      <c r="B63" s="228">
        <v>54</v>
      </c>
      <c r="C63" s="357">
        <v>0</v>
      </c>
      <c r="D63" s="220">
        <v>0</v>
      </c>
      <c r="E63" s="226">
        <f t="shared" si="17"/>
        <v>19.968387537158137</v>
      </c>
      <c r="F63" s="226">
        <f t="shared" si="18"/>
        <v>5990.5162611474416</v>
      </c>
      <c r="G63" s="226"/>
      <c r="H63" s="238">
        <f t="shared" si="19"/>
        <v>46081</v>
      </c>
    </row>
    <row r="64" spans="1:8" x14ac:dyDescent="0.3">
      <c r="A64" s="238">
        <f t="shared" si="0"/>
        <v>46112</v>
      </c>
      <c r="B64" s="228">
        <v>55</v>
      </c>
      <c r="C64" s="357">
        <v>0</v>
      </c>
      <c r="D64" s="220">
        <v>0</v>
      </c>
      <c r="E64" s="226">
        <f t="shared" si="17"/>
        <v>19.968387537158137</v>
      </c>
      <c r="F64" s="226">
        <f t="shared" si="18"/>
        <v>5990.5162611474416</v>
      </c>
      <c r="G64" s="226"/>
      <c r="H64" s="238">
        <f t="shared" si="19"/>
        <v>46112</v>
      </c>
    </row>
    <row r="65" spans="1:8" x14ac:dyDescent="0.3">
      <c r="A65" s="238">
        <f t="shared" si="0"/>
        <v>46142</v>
      </c>
      <c r="B65" s="228">
        <v>56</v>
      </c>
      <c r="C65" s="357">
        <v>0</v>
      </c>
      <c r="D65" s="220">
        <v>0</v>
      </c>
      <c r="E65" s="226">
        <f t="shared" si="17"/>
        <v>19.968387537158137</v>
      </c>
      <c r="F65" s="226">
        <f t="shared" si="18"/>
        <v>5990.5162611474416</v>
      </c>
      <c r="G65" s="226"/>
      <c r="H65" s="238">
        <f t="shared" si="19"/>
        <v>46142</v>
      </c>
    </row>
    <row r="66" spans="1:8" x14ac:dyDescent="0.3">
      <c r="A66" s="238">
        <f t="shared" si="0"/>
        <v>46173</v>
      </c>
      <c r="B66" s="228">
        <v>57</v>
      </c>
      <c r="C66" s="357">
        <v>0</v>
      </c>
      <c r="D66" s="220">
        <v>0</v>
      </c>
      <c r="E66" s="226">
        <f t="shared" si="17"/>
        <v>19.968387537158137</v>
      </c>
      <c r="F66" s="226">
        <f t="shared" si="18"/>
        <v>5990.5162611474416</v>
      </c>
      <c r="G66" s="226"/>
      <c r="H66" s="238">
        <f t="shared" si="19"/>
        <v>46173</v>
      </c>
    </row>
    <row r="67" spans="1:8" x14ac:dyDescent="0.3">
      <c r="A67" s="238">
        <f t="shared" si="0"/>
        <v>46203</v>
      </c>
      <c r="B67" s="228">
        <v>58</v>
      </c>
      <c r="C67" s="357">
        <v>0</v>
      </c>
      <c r="D67" s="220">
        <v>0</v>
      </c>
      <c r="E67" s="226">
        <f t="shared" si="17"/>
        <v>19.968387537158137</v>
      </c>
      <c r="F67" s="226">
        <f t="shared" si="18"/>
        <v>5990.5162611474416</v>
      </c>
      <c r="G67" s="226"/>
      <c r="H67" s="238">
        <f t="shared" si="19"/>
        <v>46203</v>
      </c>
    </row>
    <row r="68" spans="1:8" x14ac:dyDescent="0.3">
      <c r="A68" s="238">
        <f t="shared" si="0"/>
        <v>46234</v>
      </c>
      <c r="B68" s="228">
        <v>59</v>
      </c>
      <c r="C68" s="357">
        <v>0</v>
      </c>
      <c r="D68" s="220">
        <v>0</v>
      </c>
      <c r="E68" s="226">
        <f t="shared" si="17"/>
        <v>19.968387537158137</v>
      </c>
      <c r="F68" s="226">
        <f t="shared" si="18"/>
        <v>5990.5162611474416</v>
      </c>
      <c r="G68" s="226"/>
      <c r="H68" s="238">
        <f t="shared" si="19"/>
        <v>46234</v>
      </c>
    </row>
    <row r="69" spans="1:8" x14ac:dyDescent="0.3">
      <c r="A69" s="238">
        <f t="shared" si="0"/>
        <v>46265</v>
      </c>
      <c r="B69" s="228">
        <v>60</v>
      </c>
      <c r="C69" s="357">
        <v>0</v>
      </c>
      <c r="D69" s="220">
        <v>0</v>
      </c>
      <c r="E69" s="226">
        <f t="shared" si="17"/>
        <v>19.968387537158137</v>
      </c>
      <c r="F69" s="226">
        <f t="shared" si="18"/>
        <v>5990.5162611474416</v>
      </c>
      <c r="G69" s="226"/>
      <c r="H69" s="238">
        <f t="shared" si="19"/>
        <v>46265</v>
      </c>
    </row>
    <row r="70" spans="1:8" x14ac:dyDescent="0.3">
      <c r="A70" s="238"/>
      <c r="B70" s="228"/>
      <c r="C70" s="239"/>
      <c r="D70" s="226"/>
      <c r="E70" s="226"/>
      <c r="F70" s="226"/>
      <c r="G70" s="226"/>
    </row>
    <row r="71" spans="1:8" x14ac:dyDescent="0.3">
      <c r="A71" s="238"/>
      <c r="B71" s="228"/>
      <c r="C71" s="239"/>
      <c r="D71" s="226"/>
      <c r="E71" s="226"/>
      <c r="F71" s="226"/>
      <c r="G71" s="226"/>
    </row>
    <row r="72" spans="1:8" x14ac:dyDescent="0.3">
      <c r="A72" s="238"/>
      <c r="B72" s="228"/>
      <c r="C72" s="239"/>
      <c r="D72" s="226"/>
      <c r="E72" s="226"/>
      <c r="F72" s="226"/>
      <c r="G72" s="226"/>
    </row>
    <row r="73" spans="1:8" x14ac:dyDescent="0.3">
      <c r="A73" s="238"/>
      <c r="B73" s="228"/>
      <c r="C73" s="239"/>
      <c r="D73" s="226"/>
      <c r="E73" s="226"/>
      <c r="F73" s="226"/>
      <c r="G73" s="226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30CC-1181-4C05-AE31-965C6D71E8CA}">
  <sheetPr>
    <tabColor theme="0" tint="-0.499984740745262"/>
  </sheetPr>
  <dimension ref="A1:P71"/>
  <sheetViews>
    <sheetView workbookViewId="0">
      <selection activeCell="K68" sqref="K68"/>
    </sheetView>
  </sheetViews>
  <sheetFormatPr defaultColWidth="8.88671875" defaultRowHeight="14.4" x14ac:dyDescent="0.3"/>
  <cols>
    <col min="1" max="1" width="11.5546875" style="218" bestFit="1" customWidth="1"/>
    <col min="2" max="2" width="14.109375" style="218" bestFit="1" customWidth="1"/>
    <col min="3" max="3" width="11.5546875" style="218" bestFit="1" customWidth="1"/>
    <col min="4" max="4" width="11.44140625" style="218" customWidth="1"/>
    <col min="5" max="5" width="10.33203125" style="218" bestFit="1" customWidth="1"/>
    <col min="6" max="6" width="11.5546875" style="218" bestFit="1" customWidth="1"/>
    <col min="7" max="7" width="16.6640625" style="218" bestFit="1" customWidth="1"/>
    <col min="8" max="8" width="10.6640625" style="218" bestFit="1" customWidth="1"/>
    <col min="9" max="9" width="8.88671875" style="218"/>
    <col min="10" max="10" width="25.109375" style="218" customWidth="1"/>
    <col min="11" max="11" width="11.109375" style="218" bestFit="1" customWidth="1"/>
    <col min="12" max="12" width="8.88671875" style="218"/>
    <col min="13" max="13" width="17.44140625" style="218" bestFit="1" customWidth="1"/>
    <col min="14" max="14" width="11.88671875" style="218" bestFit="1" customWidth="1"/>
    <col min="15" max="15" width="10.5546875" style="218" bestFit="1" customWidth="1"/>
    <col min="16" max="16" width="11.5546875" style="218" bestFit="1" customWidth="1"/>
    <col min="17" max="16384" width="8.88671875" style="218"/>
  </cols>
  <sheetData>
    <row r="1" spans="1:16" x14ac:dyDescent="0.3">
      <c r="A1" s="217">
        <v>272754.5</v>
      </c>
      <c r="D1" s="219"/>
      <c r="E1" s="219"/>
      <c r="F1" s="219"/>
      <c r="G1" s="219"/>
    </row>
    <row r="2" spans="1:16" x14ac:dyDescent="0.3">
      <c r="A2" s="218">
        <v>60</v>
      </c>
      <c r="B2" s="218" t="s">
        <v>174</v>
      </c>
      <c r="C2" s="220">
        <v>5661.93</v>
      </c>
      <c r="D2" s="219"/>
      <c r="E2" s="219"/>
      <c r="F2" s="219"/>
      <c r="G2" s="219"/>
    </row>
    <row r="3" spans="1:16" x14ac:dyDescent="0.3">
      <c r="A3" s="221">
        <v>0.09</v>
      </c>
      <c r="B3" s="218" t="s">
        <v>175</v>
      </c>
      <c r="D3" s="219"/>
      <c r="E3" s="219"/>
      <c r="F3" s="219"/>
      <c r="G3" s="219"/>
    </row>
    <row r="4" spans="1:16" x14ac:dyDescent="0.3">
      <c r="A4">
        <f>A3/12</f>
        <v>7.4999999999999997E-3</v>
      </c>
      <c r="B4" s="218" t="s">
        <v>176</v>
      </c>
      <c r="D4" s="219"/>
      <c r="E4" s="219"/>
      <c r="F4" s="219"/>
      <c r="G4" s="219"/>
    </row>
    <row r="5" spans="1:16" x14ac:dyDescent="0.3">
      <c r="A5" s="223"/>
      <c r="B5" s="223"/>
      <c r="C5" s="219"/>
      <c r="D5" s="219"/>
      <c r="E5" s="219"/>
      <c r="F5" s="219"/>
      <c r="G5" s="219"/>
      <c r="J5" s="12" t="s">
        <v>177</v>
      </c>
      <c r="K5" s="272">
        <v>45777</v>
      </c>
      <c r="L5"/>
      <c r="M5" t="s">
        <v>178</v>
      </c>
      <c r="N5" s="11">
        <f>SUMIF(H:H,"&lt;="&amp;DATE(YEAR(K5),MONTH(K5)+12,DAY(K5)),D:D)-SUMIF(H:H,"&lt;"&amp;K5+1,D:D)</f>
        <v>-2.0420778309926391E-4</v>
      </c>
      <c r="O5" s="226"/>
      <c r="P5" s="328">
        <f>N5-O5</f>
        <v>-2.0420778309926391E-4</v>
      </c>
    </row>
    <row r="6" spans="1:16" x14ac:dyDescent="0.3">
      <c r="A6" s="223"/>
      <c r="B6" s="223"/>
      <c r="C6" s="219"/>
      <c r="D6" s="219"/>
      <c r="E6" s="219"/>
      <c r="F6" s="219"/>
      <c r="G6" s="219"/>
      <c r="J6"/>
      <c r="K6"/>
      <c r="L6"/>
      <c r="M6" t="s">
        <v>179</v>
      </c>
      <c r="N6" s="273">
        <f>INDEX(B:F,MATCH(K5,H:H,0),5)-N5</f>
        <v>2.3811025603208691E-3</v>
      </c>
      <c r="O6" s="329"/>
      <c r="P6" s="328">
        <f>N6-O6</f>
        <v>2.3811025603208691E-3</v>
      </c>
    </row>
    <row r="7" spans="1:16" x14ac:dyDescent="0.3">
      <c r="A7" s="228"/>
      <c r="B7" s="228"/>
      <c r="C7" s="226"/>
      <c r="D7" s="226"/>
      <c r="E7" s="226"/>
      <c r="F7" s="226"/>
      <c r="G7" s="226"/>
      <c r="J7"/>
      <c r="K7"/>
      <c r="L7"/>
      <c r="M7" s="12" t="s">
        <v>7</v>
      </c>
      <c r="N7" s="229">
        <f>N6+N5</f>
        <v>2.1768947772216052E-3</v>
      </c>
    </row>
    <row r="8" spans="1:16" x14ac:dyDescent="0.3">
      <c r="A8" s="228"/>
      <c r="B8" s="228"/>
      <c r="C8" s="230" t="s">
        <v>11</v>
      </c>
      <c r="D8" s="230" t="s">
        <v>38</v>
      </c>
      <c r="E8" s="230" t="s">
        <v>12</v>
      </c>
      <c r="F8" s="230" t="s">
        <v>180</v>
      </c>
      <c r="G8" s="230" t="s">
        <v>181</v>
      </c>
      <c r="H8" s="218" t="s">
        <v>8</v>
      </c>
      <c r="J8"/>
      <c r="K8"/>
      <c r="L8"/>
      <c r="M8" s="274" t="s">
        <v>37</v>
      </c>
      <c r="N8" s="232">
        <f>INDEX(B:F,MATCH(K5,H:H,0),5)-N7</f>
        <v>0</v>
      </c>
    </row>
    <row r="9" spans="1:16" x14ac:dyDescent="0.3">
      <c r="A9" s="233">
        <v>45139</v>
      </c>
      <c r="B9" s="234">
        <v>0</v>
      </c>
      <c r="C9" s="235"/>
      <c r="D9" s="236"/>
      <c r="E9" s="236"/>
      <c r="F9" s="236">
        <f>A1-C9</f>
        <v>272754.5</v>
      </c>
      <c r="G9" s="236"/>
      <c r="H9" s="233">
        <v>45139</v>
      </c>
    </row>
    <row r="10" spans="1:16" x14ac:dyDescent="0.3">
      <c r="A10" s="233">
        <v>45169</v>
      </c>
      <c r="B10" s="234">
        <v>1</v>
      </c>
      <c r="C10" s="237">
        <v>10687.86</v>
      </c>
      <c r="D10" s="236">
        <f>C10-E10</f>
        <v>8642.2012500000019</v>
      </c>
      <c r="E10" s="236">
        <f>(F9+G9)*(1/12)*$A$3</f>
        <v>2045.6587499999996</v>
      </c>
      <c r="F10" s="236">
        <f>F9-D10</f>
        <v>264112.29875000002</v>
      </c>
      <c r="G10" s="236"/>
      <c r="H10" s="233">
        <v>45169</v>
      </c>
    </row>
    <row r="11" spans="1:16" x14ac:dyDescent="0.3">
      <c r="A11" s="233">
        <f t="shared" ref="A11:A68" si="0">EOMONTH(A10,1)</f>
        <v>45199</v>
      </c>
      <c r="B11" s="234">
        <v>2</v>
      </c>
      <c r="C11" s="237">
        <f t="shared" ref="C11:C29" si="1">$C$2</f>
        <v>5661.93</v>
      </c>
      <c r="D11" s="236">
        <f t="shared" ref="D11:D68" si="2">C11-E11</f>
        <v>3681.0877593750001</v>
      </c>
      <c r="E11" s="236">
        <f t="shared" ref="E11:E68" si="3">(F10+G10)*(1/12)*$A$3</f>
        <v>1980.8422406250002</v>
      </c>
      <c r="F11" s="236">
        <f t="shared" ref="F11:F68" si="4">F10-D11</f>
        <v>260431.21099062503</v>
      </c>
      <c r="G11" s="236"/>
      <c r="H11" s="233">
        <f t="shared" ref="H11:H68" si="5">EOMONTH(H10,1)</f>
        <v>45199</v>
      </c>
    </row>
    <row r="12" spans="1:16" x14ac:dyDescent="0.3">
      <c r="A12" s="233">
        <f t="shared" si="0"/>
        <v>45230</v>
      </c>
      <c r="B12" s="234">
        <v>3</v>
      </c>
      <c r="C12" s="237">
        <f t="shared" si="1"/>
        <v>5661.93</v>
      </c>
      <c r="D12" s="236">
        <f t="shared" si="2"/>
        <v>3708.6959175703128</v>
      </c>
      <c r="E12" s="236">
        <f t="shared" si="3"/>
        <v>1953.2340824296875</v>
      </c>
      <c r="F12" s="236">
        <f t="shared" si="4"/>
        <v>256722.5150730547</v>
      </c>
      <c r="G12" s="236"/>
      <c r="H12" s="233">
        <f t="shared" si="5"/>
        <v>45230</v>
      </c>
    </row>
    <row r="13" spans="1:16" x14ac:dyDescent="0.3">
      <c r="A13" s="233">
        <f t="shared" si="0"/>
        <v>45260</v>
      </c>
      <c r="B13" s="234">
        <v>4</v>
      </c>
      <c r="C13" s="237">
        <f t="shared" si="1"/>
        <v>5661.93</v>
      </c>
      <c r="D13" s="236">
        <f t="shared" si="2"/>
        <v>3736.5111369520901</v>
      </c>
      <c r="E13" s="236">
        <f t="shared" si="3"/>
        <v>1925.41886304791</v>
      </c>
      <c r="F13" s="236">
        <f t="shared" si="4"/>
        <v>252986.00393610261</v>
      </c>
      <c r="G13" s="236"/>
      <c r="H13" s="233">
        <f t="shared" si="5"/>
        <v>45260</v>
      </c>
    </row>
    <row r="14" spans="1:16" ht="15.75" customHeight="1" x14ac:dyDescent="0.3">
      <c r="A14" s="233">
        <f t="shared" si="0"/>
        <v>45291</v>
      </c>
      <c r="B14" s="234">
        <v>5</v>
      </c>
      <c r="C14" s="237">
        <f t="shared" si="1"/>
        <v>5661.93</v>
      </c>
      <c r="D14" s="236">
        <f t="shared" si="2"/>
        <v>3764.5349704792307</v>
      </c>
      <c r="E14" s="236">
        <f t="shared" si="3"/>
        <v>1897.3950295207694</v>
      </c>
      <c r="F14" s="236">
        <f t="shared" si="4"/>
        <v>249221.46896562338</v>
      </c>
      <c r="G14" s="236"/>
      <c r="H14" s="233">
        <f t="shared" si="5"/>
        <v>45291</v>
      </c>
    </row>
    <row r="15" spans="1:16" x14ac:dyDescent="0.3">
      <c r="A15" s="233">
        <f t="shared" si="0"/>
        <v>45322</v>
      </c>
      <c r="B15" s="234">
        <v>6</v>
      </c>
      <c r="C15" s="237">
        <f t="shared" si="1"/>
        <v>5661.93</v>
      </c>
      <c r="D15" s="236">
        <f t="shared" si="2"/>
        <v>3792.7689827578251</v>
      </c>
      <c r="E15" s="236">
        <f t="shared" si="3"/>
        <v>1869.1610172421754</v>
      </c>
      <c r="F15" s="236">
        <f t="shared" si="4"/>
        <v>245428.69998286557</v>
      </c>
      <c r="G15" s="236"/>
      <c r="H15" s="233">
        <f t="shared" si="5"/>
        <v>45322</v>
      </c>
    </row>
    <row r="16" spans="1:16" x14ac:dyDescent="0.3">
      <c r="A16" s="233">
        <f t="shared" si="0"/>
        <v>45351</v>
      </c>
      <c r="B16" s="234">
        <v>7</v>
      </c>
      <c r="C16" s="237">
        <f t="shared" si="1"/>
        <v>5661.93</v>
      </c>
      <c r="D16" s="236">
        <f t="shared" si="2"/>
        <v>3821.214750128509</v>
      </c>
      <c r="E16" s="236">
        <f t="shared" si="3"/>
        <v>1840.7152498714916</v>
      </c>
      <c r="F16" s="236">
        <f t="shared" si="4"/>
        <v>241607.48523273706</v>
      </c>
      <c r="G16" s="236"/>
      <c r="H16" s="233">
        <f t="shared" si="5"/>
        <v>45351</v>
      </c>
    </row>
    <row r="17" spans="1:12" x14ac:dyDescent="0.3">
      <c r="A17" s="233">
        <f t="shared" si="0"/>
        <v>45382</v>
      </c>
      <c r="B17" s="234">
        <v>8</v>
      </c>
      <c r="C17" s="237">
        <f t="shared" si="1"/>
        <v>5661.93</v>
      </c>
      <c r="D17" s="236">
        <f t="shared" si="2"/>
        <v>3849.8738607544728</v>
      </c>
      <c r="E17" s="236">
        <f t="shared" si="3"/>
        <v>1812.0561392455277</v>
      </c>
      <c r="F17" s="236">
        <f t="shared" si="4"/>
        <v>237757.61137198258</v>
      </c>
      <c r="G17" s="236"/>
      <c r="H17" s="233">
        <f t="shared" si="5"/>
        <v>45382</v>
      </c>
    </row>
    <row r="18" spans="1:12" x14ac:dyDescent="0.3">
      <c r="A18" s="233">
        <f t="shared" si="0"/>
        <v>45412</v>
      </c>
      <c r="B18" s="234">
        <v>9</v>
      </c>
      <c r="C18" s="237">
        <f t="shared" si="1"/>
        <v>5661.93</v>
      </c>
      <c r="D18" s="236">
        <f t="shared" si="2"/>
        <v>3878.7479147101312</v>
      </c>
      <c r="E18" s="236">
        <f t="shared" si="3"/>
        <v>1783.1820852898693</v>
      </c>
      <c r="F18" s="236">
        <f t="shared" si="4"/>
        <v>233878.86345727244</v>
      </c>
      <c r="G18" s="236"/>
      <c r="H18" s="233">
        <f t="shared" si="5"/>
        <v>45412</v>
      </c>
    </row>
    <row r="19" spans="1:12" x14ac:dyDescent="0.3">
      <c r="A19" s="233">
        <f t="shared" si="0"/>
        <v>45443</v>
      </c>
      <c r="B19" s="234">
        <v>10</v>
      </c>
      <c r="C19" s="237">
        <f t="shared" si="1"/>
        <v>5661.93</v>
      </c>
      <c r="D19" s="236">
        <f t="shared" si="2"/>
        <v>3907.8385240704574</v>
      </c>
      <c r="E19" s="236">
        <f t="shared" si="3"/>
        <v>1754.0914759295431</v>
      </c>
      <c r="F19" s="236">
        <f t="shared" si="4"/>
        <v>229971.02493320199</v>
      </c>
      <c r="G19" s="236"/>
      <c r="H19" s="233">
        <f t="shared" si="5"/>
        <v>45443</v>
      </c>
    </row>
    <row r="20" spans="1:12" x14ac:dyDescent="0.3">
      <c r="A20" s="233">
        <f t="shared" si="0"/>
        <v>45473</v>
      </c>
      <c r="B20" s="234">
        <v>11</v>
      </c>
      <c r="C20" s="237">
        <f t="shared" si="1"/>
        <v>5661.93</v>
      </c>
      <c r="D20" s="236">
        <f t="shared" si="2"/>
        <v>3937.1473130009854</v>
      </c>
      <c r="E20" s="236">
        <f t="shared" si="3"/>
        <v>1724.7826869990149</v>
      </c>
      <c r="F20" s="236">
        <f t="shared" si="4"/>
        <v>226033.877620201</v>
      </c>
      <c r="G20" s="236"/>
      <c r="H20" s="233">
        <f t="shared" si="5"/>
        <v>45473</v>
      </c>
    </row>
    <row r="21" spans="1:12" x14ac:dyDescent="0.3">
      <c r="A21" s="233">
        <f t="shared" si="0"/>
        <v>45504</v>
      </c>
      <c r="B21" s="234">
        <v>12</v>
      </c>
      <c r="C21" s="237">
        <f t="shared" si="1"/>
        <v>5661.93</v>
      </c>
      <c r="D21" s="236">
        <f t="shared" si="2"/>
        <v>3966.6759178484926</v>
      </c>
      <c r="E21" s="236">
        <f t="shared" si="3"/>
        <v>1695.2540821515074</v>
      </c>
      <c r="F21" s="236">
        <f t="shared" si="4"/>
        <v>222067.20170235253</v>
      </c>
      <c r="G21" s="236"/>
      <c r="H21" s="233">
        <f t="shared" si="5"/>
        <v>45504</v>
      </c>
    </row>
    <row r="22" spans="1:12" x14ac:dyDescent="0.3">
      <c r="A22" s="233">
        <f t="shared" si="0"/>
        <v>45535</v>
      </c>
      <c r="B22" s="234">
        <v>13</v>
      </c>
      <c r="C22" s="237">
        <f t="shared" si="1"/>
        <v>5661.93</v>
      </c>
      <c r="D22" s="236">
        <f t="shared" si="2"/>
        <v>3996.4259872323564</v>
      </c>
      <c r="E22" s="236">
        <f t="shared" si="3"/>
        <v>1665.5040127676439</v>
      </c>
      <c r="F22" s="236">
        <f t="shared" si="4"/>
        <v>218070.77571512017</v>
      </c>
      <c r="G22" s="236"/>
      <c r="H22" s="233">
        <f t="shared" si="5"/>
        <v>45535</v>
      </c>
    </row>
    <row r="23" spans="1:12" x14ac:dyDescent="0.3">
      <c r="A23" s="233">
        <f t="shared" si="0"/>
        <v>45565</v>
      </c>
      <c r="B23" s="234">
        <v>14</v>
      </c>
      <c r="C23" s="237">
        <f t="shared" si="1"/>
        <v>5661.93</v>
      </c>
      <c r="D23" s="236">
        <f t="shared" si="2"/>
        <v>4026.3991821365994</v>
      </c>
      <c r="E23" s="236">
        <f t="shared" si="3"/>
        <v>1635.5308178634009</v>
      </c>
      <c r="F23" s="236">
        <f t="shared" si="4"/>
        <v>214044.37653298356</v>
      </c>
      <c r="G23" s="236"/>
      <c r="H23" s="233">
        <f t="shared" si="5"/>
        <v>45565</v>
      </c>
    </row>
    <row r="24" spans="1:12" x14ac:dyDescent="0.3">
      <c r="A24" s="233">
        <f t="shared" si="0"/>
        <v>45596</v>
      </c>
      <c r="B24" s="234">
        <v>15</v>
      </c>
      <c r="C24" s="237">
        <f t="shared" si="1"/>
        <v>5661.93</v>
      </c>
      <c r="D24" s="236">
        <f t="shared" si="2"/>
        <v>4056.5971760026237</v>
      </c>
      <c r="E24" s="236">
        <f t="shared" si="3"/>
        <v>1605.3328239973766</v>
      </c>
      <c r="F24" s="236">
        <f t="shared" si="4"/>
        <v>209987.77935698093</v>
      </c>
      <c r="G24" s="236"/>
      <c r="H24" s="233">
        <f t="shared" si="5"/>
        <v>45596</v>
      </c>
    </row>
    <row r="25" spans="1:12" x14ac:dyDescent="0.3">
      <c r="A25" s="233">
        <f t="shared" si="0"/>
        <v>45626</v>
      </c>
      <c r="B25" s="234">
        <v>16</v>
      </c>
      <c r="C25" s="237">
        <f t="shared" si="1"/>
        <v>5661.93</v>
      </c>
      <c r="D25" s="236">
        <f t="shared" si="2"/>
        <v>4087.0216548226435</v>
      </c>
      <c r="E25" s="236">
        <f t="shared" si="3"/>
        <v>1574.9083451773568</v>
      </c>
      <c r="F25" s="236">
        <f t="shared" si="4"/>
        <v>205900.7577021583</v>
      </c>
      <c r="G25" s="236"/>
      <c r="H25" s="233">
        <f t="shared" si="5"/>
        <v>45626</v>
      </c>
    </row>
    <row r="26" spans="1:12" x14ac:dyDescent="0.3">
      <c r="A26" s="233">
        <f t="shared" si="0"/>
        <v>45657</v>
      </c>
      <c r="B26" s="234">
        <v>17</v>
      </c>
      <c r="C26" s="237">
        <f t="shared" si="1"/>
        <v>5661.93</v>
      </c>
      <c r="D26" s="236">
        <f>C26-E26</f>
        <v>4117.6743172338138</v>
      </c>
      <c r="E26" s="236">
        <f t="shared" si="3"/>
        <v>1544.255682766187</v>
      </c>
      <c r="F26" s="236">
        <f t="shared" si="4"/>
        <v>201783.08338492448</v>
      </c>
      <c r="G26" s="236"/>
      <c r="H26" s="233">
        <f t="shared" si="5"/>
        <v>45657</v>
      </c>
    </row>
    <row r="27" spans="1:12" x14ac:dyDescent="0.3">
      <c r="A27" s="233">
        <f t="shared" si="0"/>
        <v>45688</v>
      </c>
      <c r="B27" s="234">
        <v>18</v>
      </c>
      <c r="C27" s="237">
        <v>6228.12</v>
      </c>
      <c r="D27" s="236">
        <f>C27-E27</f>
        <v>4714.7468746130662</v>
      </c>
      <c r="E27" s="236">
        <f>(F26+G26)*(1/12)*$A$3</f>
        <v>1513.3731253869335</v>
      </c>
      <c r="F27" s="236">
        <f>F26-D27</f>
        <v>197068.3365103114</v>
      </c>
      <c r="G27" s="236"/>
      <c r="H27" s="233">
        <f t="shared" si="5"/>
        <v>45688</v>
      </c>
    </row>
    <row r="28" spans="1:12" x14ac:dyDescent="0.3">
      <c r="A28" s="233">
        <f t="shared" si="0"/>
        <v>45716</v>
      </c>
      <c r="B28" s="234">
        <v>19</v>
      </c>
      <c r="C28" s="237">
        <f t="shared" si="1"/>
        <v>5661.93</v>
      </c>
      <c r="D28" s="236">
        <f t="shared" si="2"/>
        <v>4183.9174761726645</v>
      </c>
      <c r="E28" s="236">
        <f t="shared" si="3"/>
        <v>1478.0125238273354</v>
      </c>
      <c r="F28" s="236">
        <f t="shared" si="4"/>
        <v>192884.41903413873</v>
      </c>
      <c r="G28" s="236"/>
      <c r="H28" s="233">
        <f t="shared" si="5"/>
        <v>45716</v>
      </c>
    </row>
    <row r="29" spans="1:12" x14ac:dyDescent="0.3">
      <c r="A29" s="233">
        <f t="shared" si="0"/>
        <v>45747</v>
      </c>
      <c r="B29" s="234">
        <v>20</v>
      </c>
      <c r="C29" s="237">
        <f t="shared" si="1"/>
        <v>5661.93</v>
      </c>
      <c r="D29" s="236">
        <f t="shared" si="2"/>
        <v>4215.2968572439604</v>
      </c>
      <c r="E29" s="236">
        <f t="shared" si="3"/>
        <v>1446.6331427560403</v>
      </c>
      <c r="F29" s="236">
        <f t="shared" si="4"/>
        <v>188669.12217689477</v>
      </c>
      <c r="G29" s="236"/>
      <c r="H29" s="233">
        <f t="shared" si="5"/>
        <v>45747</v>
      </c>
      <c r="J29" s="218" t="s">
        <v>380</v>
      </c>
      <c r="K29" s="226">
        <v>200379.11</v>
      </c>
    </row>
    <row r="30" spans="1:12" x14ac:dyDescent="0.3">
      <c r="A30" s="233">
        <f t="shared" si="0"/>
        <v>45777</v>
      </c>
      <c r="B30" s="234">
        <v>21</v>
      </c>
      <c r="C30" s="237">
        <f>$C$2+200379.11</f>
        <v>206041.03999999998</v>
      </c>
      <c r="D30" s="236">
        <f t="shared" si="2"/>
        <v>188669.12</v>
      </c>
      <c r="E30" s="236">
        <f>15956.9+1415.02</f>
        <v>17371.919999999998</v>
      </c>
      <c r="F30" s="236">
        <f t="shared" si="4"/>
        <v>2.1768947772216052E-3</v>
      </c>
      <c r="G30" s="236"/>
      <c r="H30" s="233">
        <f t="shared" si="5"/>
        <v>45777</v>
      </c>
      <c r="I30" s="356" t="s">
        <v>384</v>
      </c>
      <c r="J30" s="218" t="s">
        <v>381</v>
      </c>
      <c r="K30" s="226">
        <v>184422.21059322148</v>
      </c>
    </row>
    <row r="31" spans="1:12" ht="15" thickBot="1" x14ac:dyDescent="0.35">
      <c r="A31" s="238">
        <f t="shared" si="0"/>
        <v>45808</v>
      </c>
      <c r="B31" s="228">
        <v>22</v>
      </c>
      <c r="C31" s="239"/>
      <c r="D31" s="226">
        <f t="shared" si="2"/>
        <v>-1.6326710829162038E-5</v>
      </c>
      <c r="E31" s="226">
        <f t="shared" si="3"/>
        <v>1.6326710829162038E-5</v>
      </c>
      <c r="F31" s="226">
        <f t="shared" si="4"/>
        <v>2.1932214880507673E-3</v>
      </c>
      <c r="G31" s="226"/>
      <c r="H31" s="238">
        <f t="shared" si="5"/>
        <v>45808</v>
      </c>
      <c r="J31" s="356" t="s">
        <v>382</v>
      </c>
      <c r="K31" s="358">
        <f>K29-K30</f>
        <v>15956.89940677851</v>
      </c>
      <c r="L31" s="356" t="s">
        <v>383</v>
      </c>
    </row>
    <row r="32" spans="1:12" x14ac:dyDescent="0.3">
      <c r="A32" s="238">
        <f t="shared" si="0"/>
        <v>45838</v>
      </c>
      <c r="B32" s="228">
        <v>23</v>
      </c>
      <c r="C32" s="239"/>
      <c r="D32" s="226">
        <f t="shared" si="2"/>
        <v>-1.6449161160380754E-5</v>
      </c>
      <c r="E32" s="226">
        <f t="shared" si="3"/>
        <v>1.6449161160380754E-5</v>
      </c>
      <c r="F32" s="226">
        <f t="shared" si="4"/>
        <v>2.2096706492111479E-3</v>
      </c>
      <c r="G32" s="226"/>
      <c r="H32" s="238">
        <f t="shared" si="5"/>
        <v>45838</v>
      </c>
    </row>
    <row r="33" spans="1:8" x14ac:dyDescent="0.3">
      <c r="A33" s="238">
        <f t="shared" si="0"/>
        <v>45869</v>
      </c>
      <c r="B33" s="228">
        <v>24</v>
      </c>
      <c r="C33" s="239"/>
      <c r="D33" s="226">
        <f t="shared" si="2"/>
        <v>-1.6572529869083607E-5</v>
      </c>
      <c r="E33" s="226">
        <f t="shared" si="3"/>
        <v>1.6572529869083607E-5</v>
      </c>
      <c r="F33" s="226">
        <f t="shared" si="4"/>
        <v>2.2262431790802317E-3</v>
      </c>
      <c r="G33" s="226"/>
      <c r="H33" s="238">
        <f t="shared" si="5"/>
        <v>45869</v>
      </c>
    </row>
    <row r="34" spans="1:8" x14ac:dyDescent="0.3">
      <c r="A34" s="238">
        <f t="shared" si="0"/>
        <v>45900</v>
      </c>
      <c r="B34" s="228">
        <v>25</v>
      </c>
      <c r="C34" s="239"/>
      <c r="D34" s="226">
        <f t="shared" si="2"/>
        <v>-1.6696823843101734E-5</v>
      </c>
      <c r="E34" s="226">
        <f t="shared" si="3"/>
        <v>1.6696823843101734E-5</v>
      </c>
      <c r="F34" s="226">
        <f t="shared" si="4"/>
        <v>2.2429400029233336E-3</v>
      </c>
      <c r="G34" s="226"/>
      <c r="H34" s="238">
        <f t="shared" si="5"/>
        <v>45900</v>
      </c>
    </row>
    <row r="35" spans="1:8" x14ac:dyDescent="0.3">
      <c r="A35" s="238">
        <f t="shared" si="0"/>
        <v>45930</v>
      </c>
      <c r="B35" s="228">
        <v>26</v>
      </c>
      <c r="C35" s="239"/>
      <c r="D35" s="226">
        <f t="shared" si="2"/>
        <v>-1.6822050021925E-5</v>
      </c>
      <c r="E35" s="226">
        <f t="shared" si="3"/>
        <v>1.6822050021925E-5</v>
      </c>
      <c r="F35" s="226">
        <f t="shared" si="4"/>
        <v>2.2597620529452586E-3</v>
      </c>
      <c r="G35" s="226"/>
      <c r="H35" s="238">
        <f t="shared" si="5"/>
        <v>45930</v>
      </c>
    </row>
    <row r="36" spans="1:8" x14ac:dyDescent="0.3">
      <c r="A36" s="238">
        <f t="shared" si="0"/>
        <v>45961</v>
      </c>
      <c r="B36" s="228">
        <v>27</v>
      </c>
      <c r="C36" s="239"/>
      <c r="D36" s="226">
        <f t="shared" si="2"/>
        <v>-1.6948215397089438E-5</v>
      </c>
      <c r="E36" s="226">
        <f t="shared" si="3"/>
        <v>1.6948215397089438E-5</v>
      </c>
      <c r="F36" s="226">
        <f t="shared" si="4"/>
        <v>2.2767102683423483E-3</v>
      </c>
      <c r="G36" s="226"/>
      <c r="H36" s="238">
        <f t="shared" si="5"/>
        <v>45961</v>
      </c>
    </row>
    <row r="37" spans="1:8" x14ac:dyDescent="0.3">
      <c r="A37" s="238">
        <f t="shared" si="0"/>
        <v>45991</v>
      </c>
      <c r="B37" s="228">
        <v>28</v>
      </c>
      <c r="C37" s="239"/>
      <c r="D37" s="226">
        <f t="shared" si="2"/>
        <v>-1.707532701256761E-5</v>
      </c>
      <c r="E37" s="226">
        <f t="shared" si="3"/>
        <v>1.707532701256761E-5</v>
      </c>
      <c r="F37" s="226">
        <f t="shared" si="4"/>
        <v>2.293785595354916E-3</v>
      </c>
      <c r="G37" s="226"/>
      <c r="H37" s="238">
        <f t="shared" si="5"/>
        <v>45991</v>
      </c>
    </row>
    <row r="38" spans="1:8" x14ac:dyDescent="0.3">
      <c r="A38" s="238">
        <f t="shared" si="0"/>
        <v>46022</v>
      </c>
      <c r="B38" s="228">
        <v>29</v>
      </c>
      <c r="C38" s="239"/>
      <c r="D38" s="226">
        <f t="shared" si="2"/>
        <v>-1.720339196516187E-5</v>
      </c>
      <c r="E38" s="226">
        <f t="shared" si="3"/>
        <v>1.720339196516187E-5</v>
      </c>
      <c r="F38" s="226">
        <f t="shared" si="4"/>
        <v>2.3109889873200781E-3</v>
      </c>
      <c r="G38" s="226"/>
      <c r="H38" s="238">
        <f t="shared" si="5"/>
        <v>46022</v>
      </c>
    </row>
    <row r="39" spans="1:8" x14ac:dyDescent="0.3">
      <c r="A39" s="238">
        <f t="shared" si="0"/>
        <v>46053</v>
      </c>
      <c r="B39" s="228">
        <v>30</v>
      </c>
      <c r="C39" s="239"/>
      <c r="D39" s="226">
        <f t="shared" si="2"/>
        <v>-1.7332417404900584E-5</v>
      </c>
      <c r="E39" s="226">
        <f t="shared" si="3"/>
        <v>1.7332417404900584E-5</v>
      </c>
      <c r="F39" s="226">
        <f t="shared" si="4"/>
        <v>2.3283214047249787E-3</v>
      </c>
      <c r="G39" s="226"/>
      <c r="H39" s="238">
        <f t="shared" si="5"/>
        <v>46053</v>
      </c>
    </row>
    <row r="40" spans="1:8" x14ac:dyDescent="0.3">
      <c r="A40" s="238">
        <f t="shared" si="0"/>
        <v>46081</v>
      </c>
      <c r="B40" s="228">
        <v>31</v>
      </c>
      <c r="C40" s="239"/>
      <c r="D40" s="226">
        <f t="shared" si="2"/>
        <v>-1.7462410535437341E-5</v>
      </c>
      <c r="E40" s="226">
        <f t="shared" si="3"/>
        <v>1.7462410535437341E-5</v>
      </c>
      <c r="F40" s="226">
        <f t="shared" si="4"/>
        <v>2.3457838152604162E-3</v>
      </c>
      <c r="G40" s="226"/>
      <c r="H40" s="238">
        <f t="shared" si="5"/>
        <v>46081</v>
      </c>
    </row>
    <row r="41" spans="1:8" x14ac:dyDescent="0.3">
      <c r="A41" s="238">
        <f t="shared" si="0"/>
        <v>46112</v>
      </c>
      <c r="B41" s="228">
        <v>32</v>
      </c>
      <c r="C41" s="239"/>
      <c r="D41" s="226">
        <f t="shared" si="2"/>
        <v>-1.7593378614453119E-5</v>
      </c>
      <c r="E41" s="226">
        <f t="shared" si="3"/>
        <v>1.7593378614453119E-5</v>
      </c>
      <c r="F41" s="226">
        <f t="shared" si="4"/>
        <v>2.3633771938748691E-3</v>
      </c>
      <c r="G41" s="226"/>
      <c r="H41" s="238">
        <f t="shared" si="5"/>
        <v>46112</v>
      </c>
    </row>
    <row r="42" spans="1:8" x14ac:dyDescent="0.3">
      <c r="A42" s="238">
        <f t="shared" si="0"/>
        <v>46142</v>
      </c>
      <c r="B42" s="228">
        <v>33</v>
      </c>
      <c r="C42" s="239"/>
      <c r="D42" s="226">
        <f t="shared" si="2"/>
        <v>-1.7725328954061518E-5</v>
      </c>
      <c r="E42" s="226">
        <f t="shared" si="3"/>
        <v>1.7725328954061518E-5</v>
      </c>
      <c r="F42" s="226">
        <f t="shared" si="4"/>
        <v>2.3811025228289307E-3</v>
      </c>
      <c r="G42" s="226"/>
      <c r="H42" s="238">
        <f t="shared" si="5"/>
        <v>46142</v>
      </c>
    </row>
    <row r="43" spans="1:8" x14ac:dyDescent="0.3">
      <c r="A43" s="238">
        <f t="shared" si="0"/>
        <v>46173</v>
      </c>
      <c r="B43" s="228">
        <v>34</v>
      </c>
      <c r="C43" s="239"/>
      <c r="D43" s="226">
        <f t="shared" si="2"/>
        <v>-1.7858268921216978E-5</v>
      </c>
      <c r="E43" s="226">
        <f t="shared" si="3"/>
        <v>1.7858268921216978E-5</v>
      </c>
      <c r="F43" s="226">
        <f t="shared" si="4"/>
        <v>2.3989607917501475E-3</v>
      </c>
      <c r="G43" s="226"/>
      <c r="H43" s="238">
        <f t="shared" si="5"/>
        <v>46173</v>
      </c>
    </row>
    <row r="44" spans="1:8" x14ac:dyDescent="0.3">
      <c r="A44" s="238">
        <f t="shared" si="0"/>
        <v>46203</v>
      </c>
      <c r="B44" s="228">
        <v>35</v>
      </c>
      <c r="C44" s="239"/>
      <c r="D44" s="226">
        <f t="shared" si="2"/>
        <v>-1.7992205938126103E-5</v>
      </c>
      <c r="E44" s="226">
        <f t="shared" si="3"/>
        <v>1.7992205938126103E-5</v>
      </c>
      <c r="F44" s="226">
        <f t="shared" si="4"/>
        <v>2.4169529976882736E-3</v>
      </c>
      <c r="G44" s="226"/>
      <c r="H44" s="238">
        <f t="shared" si="5"/>
        <v>46203</v>
      </c>
    </row>
    <row r="45" spans="1:8" x14ac:dyDescent="0.3">
      <c r="A45" s="238">
        <f t="shared" si="0"/>
        <v>46234</v>
      </c>
      <c r="B45" s="228">
        <v>36</v>
      </c>
      <c r="C45" s="239"/>
      <c r="D45" s="226">
        <f t="shared" si="2"/>
        <v>-1.812714748266205E-5</v>
      </c>
      <c r="E45" s="226">
        <f t="shared" si="3"/>
        <v>1.812714748266205E-5</v>
      </c>
      <c r="F45" s="226">
        <f t="shared" si="4"/>
        <v>2.4350801451709357E-3</v>
      </c>
      <c r="G45" s="226"/>
      <c r="H45" s="238">
        <f t="shared" si="5"/>
        <v>46234</v>
      </c>
    </row>
    <row r="46" spans="1:8" x14ac:dyDescent="0.3">
      <c r="A46" s="238">
        <f t="shared" si="0"/>
        <v>46265</v>
      </c>
      <c r="B46" s="228">
        <v>37</v>
      </c>
      <c r="C46" s="239"/>
      <c r="D46" s="226">
        <f t="shared" si="2"/>
        <v>-1.8263101088782017E-5</v>
      </c>
      <c r="E46" s="226">
        <f t="shared" si="3"/>
        <v>1.8263101088782017E-5</v>
      </c>
      <c r="F46" s="226">
        <f t="shared" si="4"/>
        <v>2.4533432462597177E-3</v>
      </c>
      <c r="G46" s="226"/>
      <c r="H46" s="238">
        <f t="shared" si="5"/>
        <v>46265</v>
      </c>
    </row>
    <row r="47" spans="1:8" x14ac:dyDescent="0.3">
      <c r="A47" s="238">
        <f t="shared" si="0"/>
        <v>46295</v>
      </c>
      <c r="B47" s="228">
        <v>38</v>
      </c>
      <c r="C47" s="239"/>
      <c r="D47" s="226">
        <f t="shared" si="2"/>
        <v>-1.8400074346947883E-5</v>
      </c>
      <c r="E47" s="226">
        <f t="shared" si="3"/>
        <v>1.8400074346947883E-5</v>
      </c>
      <c r="F47" s="226">
        <f t="shared" si="4"/>
        <v>2.4717433206066656E-3</v>
      </c>
      <c r="G47" s="226"/>
      <c r="H47" s="238">
        <f t="shared" si="5"/>
        <v>46295</v>
      </c>
    </row>
    <row r="48" spans="1:8" x14ac:dyDescent="0.3">
      <c r="A48" s="238">
        <f t="shared" si="0"/>
        <v>46326</v>
      </c>
      <c r="B48" s="228">
        <v>39</v>
      </c>
      <c r="C48" s="239"/>
      <c r="D48" s="226">
        <f t="shared" si="2"/>
        <v>-1.8538074904549991E-5</v>
      </c>
      <c r="E48" s="226">
        <f t="shared" si="3"/>
        <v>1.8538074904549991E-5</v>
      </c>
      <c r="F48" s="226">
        <f t="shared" si="4"/>
        <v>2.4902813955112154E-3</v>
      </c>
      <c r="G48" s="226"/>
      <c r="H48" s="238">
        <f t="shared" si="5"/>
        <v>46326</v>
      </c>
    </row>
    <row r="49" spans="1:8" x14ac:dyDescent="0.3">
      <c r="A49" s="238">
        <f t="shared" si="0"/>
        <v>46356</v>
      </c>
      <c r="B49" s="228">
        <v>40</v>
      </c>
      <c r="C49" s="239"/>
      <c r="D49" s="226">
        <f t="shared" si="2"/>
        <v>-1.8677110466334113E-5</v>
      </c>
      <c r="E49" s="226">
        <f t="shared" si="3"/>
        <v>1.8677110466334113E-5</v>
      </c>
      <c r="F49" s="226">
        <f t="shared" si="4"/>
        <v>2.5089585059775493E-3</v>
      </c>
      <c r="G49" s="226"/>
      <c r="H49" s="238">
        <f t="shared" si="5"/>
        <v>46356</v>
      </c>
    </row>
    <row r="50" spans="1:8" x14ac:dyDescent="0.3">
      <c r="A50" s="238">
        <f t="shared" si="0"/>
        <v>46387</v>
      </c>
      <c r="B50" s="228">
        <v>41</v>
      </c>
      <c r="C50" s="239"/>
      <c r="D50" s="226">
        <f t="shared" si="2"/>
        <v>-1.8817188794831618E-5</v>
      </c>
      <c r="E50" s="226">
        <f t="shared" si="3"/>
        <v>1.8817188794831618E-5</v>
      </c>
      <c r="F50" s="226">
        <f t="shared" si="4"/>
        <v>2.527775694772381E-3</v>
      </c>
      <c r="G50" s="226"/>
      <c r="H50" s="238">
        <f t="shared" si="5"/>
        <v>46387</v>
      </c>
    </row>
    <row r="51" spans="1:8" x14ac:dyDescent="0.3">
      <c r="A51" s="238">
        <f t="shared" si="0"/>
        <v>46418</v>
      </c>
      <c r="B51" s="228">
        <v>42</v>
      </c>
      <c r="C51" s="239"/>
      <c r="D51" s="226">
        <f t="shared" si="2"/>
        <v>-1.8958317710792855E-5</v>
      </c>
      <c r="E51" s="226">
        <f t="shared" si="3"/>
        <v>1.8958317710792855E-5</v>
      </c>
      <c r="F51" s="226">
        <f t="shared" si="4"/>
        <v>2.5467340124831739E-3</v>
      </c>
      <c r="G51" s="226"/>
      <c r="H51" s="238">
        <f t="shared" si="5"/>
        <v>46418</v>
      </c>
    </row>
    <row r="52" spans="1:8" x14ac:dyDescent="0.3">
      <c r="A52" s="238">
        <f t="shared" si="0"/>
        <v>46446</v>
      </c>
      <c r="B52" s="228">
        <v>43</v>
      </c>
      <c r="C52" s="239"/>
      <c r="D52" s="226">
        <f t="shared" si="2"/>
        <v>-1.9100505093623803E-5</v>
      </c>
      <c r="E52" s="226">
        <f t="shared" si="3"/>
        <v>1.9100505093623803E-5</v>
      </c>
      <c r="F52" s="226">
        <f t="shared" si="4"/>
        <v>2.5658345175767977E-3</v>
      </c>
      <c r="G52" s="226"/>
      <c r="H52" s="238">
        <f t="shared" si="5"/>
        <v>46446</v>
      </c>
    </row>
    <row r="53" spans="1:8" x14ac:dyDescent="0.3">
      <c r="A53" s="238">
        <f t="shared" si="0"/>
        <v>46477</v>
      </c>
      <c r="B53" s="228">
        <v>44</v>
      </c>
      <c r="C53" s="239"/>
      <c r="D53" s="226">
        <f t="shared" si="2"/>
        <v>-1.924375888182598E-5</v>
      </c>
      <c r="E53" s="226">
        <f t="shared" si="3"/>
        <v>1.924375888182598E-5</v>
      </c>
      <c r="F53" s="226">
        <f t="shared" si="4"/>
        <v>2.5850782764586236E-3</v>
      </c>
      <c r="G53" s="226"/>
      <c r="H53" s="238">
        <f t="shared" si="5"/>
        <v>46477</v>
      </c>
    </row>
    <row r="54" spans="1:8" x14ac:dyDescent="0.3">
      <c r="A54" s="238">
        <f t="shared" si="0"/>
        <v>46507</v>
      </c>
      <c r="B54" s="228">
        <v>45</v>
      </c>
      <c r="C54" s="239"/>
      <c r="D54" s="226">
        <f t="shared" si="2"/>
        <v>-1.9388087073439674E-5</v>
      </c>
      <c r="E54" s="226">
        <f t="shared" si="3"/>
        <v>1.9388087073439674E-5</v>
      </c>
      <c r="F54" s="226">
        <f t="shared" si="4"/>
        <v>2.6044663635320631E-3</v>
      </c>
      <c r="G54" s="226"/>
      <c r="H54" s="238">
        <f t="shared" si="5"/>
        <v>46507</v>
      </c>
    </row>
    <row r="55" spans="1:8" x14ac:dyDescent="0.3">
      <c r="A55" s="238">
        <f t="shared" si="0"/>
        <v>46538</v>
      </c>
      <c r="B55" s="228">
        <v>46</v>
      </c>
      <c r="C55" s="239"/>
      <c r="D55" s="226">
        <f t="shared" si="2"/>
        <v>-1.9533497726490473E-5</v>
      </c>
      <c r="E55" s="226">
        <f t="shared" si="3"/>
        <v>1.9533497726490473E-5</v>
      </c>
      <c r="F55" s="226">
        <f t="shared" si="4"/>
        <v>2.6239998612585537E-3</v>
      </c>
      <c r="G55" s="226"/>
      <c r="H55" s="238">
        <f t="shared" si="5"/>
        <v>46538</v>
      </c>
    </row>
    <row r="56" spans="1:8" x14ac:dyDescent="0.3">
      <c r="A56" s="238">
        <f t="shared" si="0"/>
        <v>46568</v>
      </c>
      <c r="B56" s="228">
        <v>47</v>
      </c>
      <c r="C56" s="239"/>
      <c r="D56" s="226">
        <f t="shared" si="2"/>
        <v>-1.9679998959439152E-5</v>
      </c>
      <c r="E56" s="226">
        <f t="shared" si="3"/>
        <v>1.9679998959439152E-5</v>
      </c>
      <c r="F56" s="226">
        <f t="shared" si="4"/>
        <v>2.6436798602179931E-3</v>
      </c>
      <c r="G56" s="226"/>
      <c r="H56" s="238">
        <f t="shared" si="5"/>
        <v>46568</v>
      </c>
    </row>
    <row r="57" spans="1:8" x14ac:dyDescent="0.3">
      <c r="A57" s="238">
        <f t="shared" si="0"/>
        <v>46599</v>
      </c>
      <c r="B57" s="228">
        <v>48</v>
      </c>
      <c r="C57" s="239"/>
      <c r="D57" s="226">
        <f t="shared" si="2"/>
        <v>-1.9827598951634948E-5</v>
      </c>
      <c r="E57" s="226">
        <f t="shared" si="3"/>
        <v>1.9827598951634948E-5</v>
      </c>
      <c r="F57" s="226">
        <f t="shared" si="4"/>
        <v>2.663507459169628E-3</v>
      </c>
      <c r="G57" s="226"/>
      <c r="H57" s="238">
        <f t="shared" si="5"/>
        <v>46599</v>
      </c>
    </row>
    <row r="58" spans="1:8" x14ac:dyDescent="0.3">
      <c r="A58" s="238">
        <f t="shared" si="0"/>
        <v>46630</v>
      </c>
      <c r="B58" s="228">
        <v>49</v>
      </c>
      <c r="C58" s="239"/>
      <c r="D58" s="226">
        <f t="shared" si="2"/>
        <v>-1.9976305943772208E-5</v>
      </c>
      <c r="E58" s="226">
        <f t="shared" si="3"/>
        <v>1.9976305943772208E-5</v>
      </c>
      <c r="F58" s="226">
        <f t="shared" si="4"/>
        <v>2.6834837651134001E-3</v>
      </c>
      <c r="G58" s="226"/>
      <c r="H58" s="238">
        <f t="shared" si="5"/>
        <v>46630</v>
      </c>
    </row>
    <row r="59" spans="1:8" x14ac:dyDescent="0.3">
      <c r="A59" s="238">
        <f t="shared" si="0"/>
        <v>46660</v>
      </c>
      <c r="B59" s="228">
        <v>50</v>
      </c>
      <c r="C59" s="239"/>
      <c r="D59" s="226">
        <f t="shared" si="2"/>
        <v>-2.0126128238350498E-5</v>
      </c>
      <c r="E59" s="226">
        <f t="shared" si="3"/>
        <v>2.0126128238350498E-5</v>
      </c>
      <c r="F59" s="226">
        <f t="shared" si="4"/>
        <v>2.7036098933517507E-3</v>
      </c>
      <c r="G59" s="226"/>
      <c r="H59" s="238">
        <f t="shared" si="5"/>
        <v>46660</v>
      </c>
    </row>
    <row r="60" spans="1:8" x14ac:dyDescent="0.3">
      <c r="A60" s="238">
        <f t="shared" si="0"/>
        <v>46691</v>
      </c>
      <c r="B60" s="228">
        <v>51</v>
      </c>
      <c r="C60" s="239"/>
      <c r="D60" s="226">
        <f t="shared" si="2"/>
        <v>-2.0277074200138129E-5</v>
      </c>
      <c r="E60" s="226">
        <f t="shared" si="3"/>
        <v>2.0277074200138129E-5</v>
      </c>
      <c r="F60" s="226">
        <f t="shared" si="4"/>
        <v>2.7238869675518889E-3</v>
      </c>
      <c r="G60" s="226"/>
      <c r="H60" s="238">
        <f t="shared" si="5"/>
        <v>46691</v>
      </c>
    </row>
    <row r="61" spans="1:8" x14ac:dyDescent="0.3">
      <c r="A61" s="238">
        <f t="shared" si="0"/>
        <v>46721</v>
      </c>
      <c r="B61" s="228">
        <v>52</v>
      </c>
      <c r="C61" s="239"/>
      <c r="D61" s="226">
        <f t="shared" si="2"/>
        <v>-2.0429152256639165E-5</v>
      </c>
      <c r="E61" s="226">
        <f t="shared" si="3"/>
        <v>2.0429152256639165E-5</v>
      </c>
      <c r="F61" s="226">
        <f t="shared" si="4"/>
        <v>2.7443161198085282E-3</v>
      </c>
      <c r="G61" s="226"/>
      <c r="H61" s="238">
        <f t="shared" si="5"/>
        <v>46721</v>
      </c>
    </row>
    <row r="62" spans="1:8" x14ac:dyDescent="0.3">
      <c r="A62" s="238">
        <f t="shared" si="0"/>
        <v>46752</v>
      </c>
      <c r="B62" s="228">
        <v>53</v>
      </c>
      <c r="C62" s="239"/>
      <c r="D62" s="226">
        <f t="shared" si="2"/>
        <v>-2.0582370898563958E-5</v>
      </c>
      <c r="E62" s="226">
        <f t="shared" si="3"/>
        <v>2.0582370898563958E-5</v>
      </c>
      <c r="F62" s="226">
        <f t="shared" si="4"/>
        <v>2.7648984907070922E-3</v>
      </c>
      <c r="G62" s="226"/>
      <c r="H62" s="238">
        <f t="shared" si="5"/>
        <v>46752</v>
      </c>
    </row>
    <row r="63" spans="1:8" x14ac:dyDescent="0.3">
      <c r="A63" s="238">
        <f t="shared" si="0"/>
        <v>46783</v>
      </c>
      <c r="B63" s="228">
        <v>54</v>
      </c>
      <c r="C63" s="239"/>
      <c r="D63" s="226">
        <f t="shared" si="2"/>
        <v>-2.073673868030319E-5</v>
      </c>
      <c r="E63" s="226">
        <f t="shared" si="3"/>
        <v>2.073673868030319E-5</v>
      </c>
      <c r="F63" s="226">
        <f t="shared" si="4"/>
        <v>2.7856352293873952E-3</v>
      </c>
      <c r="G63" s="226"/>
      <c r="H63" s="238">
        <f t="shared" si="5"/>
        <v>46783</v>
      </c>
    </row>
    <row r="64" spans="1:8" x14ac:dyDescent="0.3">
      <c r="A64" s="238">
        <f t="shared" si="0"/>
        <v>46812</v>
      </c>
      <c r="B64" s="228">
        <v>55</v>
      </c>
      <c r="C64" s="239"/>
      <c r="D64" s="226">
        <f t="shared" si="2"/>
        <v>-2.0892264220405462E-5</v>
      </c>
      <c r="E64" s="226">
        <f t="shared" si="3"/>
        <v>2.0892264220405462E-5</v>
      </c>
      <c r="F64" s="226">
        <f t="shared" si="4"/>
        <v>2.8065274936078005E-3</v>
      </c>
      <c r="G64" s="226"/>
      <c r="H64" s="238">
        <f t="shared" si="5"/>
        <v>46812</v>
      </c>
    </row>
    <row r="65" spans="1:8" x14ac:dyDescent="0.3">
      <c r="A65" s="238">
        <f t="shared" si="0"/>
        <v>46843</v>
      </c>
      <c r="B65" s="228">
        <v>56</v>
      </c>
      <c r="C65" s="239"/>
      <c r="D65" s="226">
        <f t="shared" si="2"/>
        <v>-2.1048956202058501E-5</v>
      </c>
      <c r="E65" s="226">
        <f t="shared" si="3"/>
        <v>2.1048956202058501E-5</v>
      </c>
      <c r="F65" s="226">
        <f t="shared" si="4"/>
        <v>2.8275764498098591E-3</v>
      </c>
      <c r="G65" s="226"/>
      <c r="H65" s="238">
        <f t="shared" si="5"/>
        <v>46843</v>
      </c>
    </row>
    <row r="66" spans="1:8" x14ac:dyDescent="0.3">
      <c r="A66" s="238">
        <f t="shared" si="0"/>
        <v>46873</v>
      </c>
      <c r="B66" s="228">
        <v>57</v>
      </c>
      <c r="C66" s="239"/>
      <c r="D66" s="226">
        <f t="shared" si="2"/>
        <v>-2.1206823373573942E-5</v>
      </c>
      <c r="E66" s="226">
        <f t="shared" si="3"/>
        <v>2.1206823373573942E-5</v>
      </c>
      <c r="F66" s="226">
        <f t="shared" si="4"/>
        <v>2.848783273183433E-3</v>
      </c>
      <c r="G66" s="226"/>
      <c r="H66" s="238">
        <f t="shared" si="5"/>
        <v>46873</v>
      </c>
    </row>
    <row r="67" spans="1:8" x14ac:dyDescent="0.3">
      <c r="A67" s="238">
        <f t="shared" si="0"/>
        <v>46904</v>
      </c>
      <c r="B67" s="228">
        <v>58</v>
      </c>
      <c r="C67" s="239"/>
      <c r="D67" s="226">
        <f t="shared" si="2"/>
        <v>-2.1365874548875748E-5</v>
      </c>
      <c r="E67" s="226">
        <f t="shared" si="3"/>
        <v>2.1365874548875748E-5</v>
      </c>
      <c r="F67" s="226">
        <f t="shared" si="4"/>
        <v>2.8701491477323088E-3</v>
      </c>
      <c r="G67" s="226"/>
      <c r="H67" s="238">
        <f t="shared" si="5"/>
        <v>46904</v>
      </c>
    </row>
    <row r="68" spans="1:8" x14ac:dyDescent="0.3">
      <c r="A68" s="238">
        <f t="shared" si="0"/>
        <v>46934</v>
      </c>
      <c r="B68" s="228">
        <v>59</v>
      </c>
      <c r="C68" s="239"/>
      <c r="D68" s="226">
        <f t="shared" si="2"/>
        <v>-2.1526118607992314E-5</v>
      </c>
      <c r="E68" s="226">
        <f t="shared" si="3"/>
        <v>2.1526118607992314E-5</v>
      </c>
      <c r="F68" s="226">
        <f t="shared" si="4"/>
        <v>2.8916752663403012E-3</v>
      </c>
      <c r="G68" s="226"/>
      <c r="H68" s="238">
        <f t="shared" si="5"/>
        <v>46934</v>
      </c>
    </row>
    <row r="69" spans="1:8" x14ac:dyDescent="0.3">
      <c r="A69" s="238"/>
      <c r="B69" s="228"/>
      <c r="C69" s="239"/>
      <c r="D69" s="226"/>
      <c r="E69" s="226"/>
      <c r="F69" s="226"/>
      <c r="G69" s="226"/>
    </row>
    <row r="70" spans="1:8" x14ac:dyDescent="0.3">
      <c r="A70" s="238"/>
      <c r="B70" s="228"/>
      <c r="C70" s="239"/>
      <c r="D70" s="226"/>
      <c r="E70" s="226"/>
      <c r="F70" s="226"/>
      <c r="G70" s="226"/>
    </row>
    <row r="71" spans="1:8" x14ac:dyDescent="0.3">
      <c r="A71" s="238"/>
      <c r="B71" s="228"/>
      <c r="C71" s="239"/>
      <c r="D71" s="226"/>
      <c r="E71" s="226"/>
      <c r="F71" s="226"/>
      <c r="G71" s="226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01DA-0180-41EB-B24F-F048E02F61B5}">
  <sheetPr>
    <tabColor rgb="FF92D050"/>
  </sheetPr>
  <dimension ref="A1:P61"/>
  <sheetViews>
    <sheetView workbookViewId="0">
      <selection activeCell="P6" sqref="P6"/>
    </sheetView>
  </sheetViews>
  <sheetFormatPr defaultColWidth="8.88671875" defaultRowHeight="14.4" x14ac:dyDescent="0.3"/>
  <cols>
    <col min="1" max="1" width="12.44140625" style="218" bestFit="1" customWidth="1"/>
    <col min="2" max="2" width="14.109375" style="218" bestFit="1" customWidth="1"/>
    <col min="3" max="4" width="11" style="218" bestFit="1" customWidth="1"/>
    <col min="5" max="5" width="9.5546875" style="218" bestFit="1" customWidth="1"/>
    <col min="6" max="6" width="11.5546875" style="218" bestFit="1" customWidth="1"/>
    <col min="7" max="7" width="16.6640625" style="218" bestFit="1" customWidth="1"/>
    <col min="8" max="8" width="10.6640625" style="218" bestFit="1" customWidth="1"/>
    <col min="9" max="9" width="8.88671875" style="218"/>
    <col min="10" max="10" width="12.5546875" style="218" bestFit="1" customWidth="1"/>
    <col min="11" max="11" width="11.109375" style="218" bestFit="1" customWidth="1"/>
    <col min="12" max="12" width="8.88671875" style="218"/>
    <col min="13" max="13" width="17.44140625" style="218" bestFit="1" customWidth="1"/>
    <col min="14" max="14" width="13" style="218" customWidth="1"/>
    <col min="15" max="15" width="11.5546875" style="218" bestFit="1" customWidth="1"/>
    <col min="16" max="16" width="11.33203125" style="218" bestFit="1" customWidth="1"/>
    <col min="17" max="16384" width="8.88671875" style="218"/>
  </cols>
  <sheetData>
    <row r="1" spans="1:16" x14ac:dyDescent="0.3">
      <c r="A1" s="217">
        <v>555000</v>
      </c>
      <c r="D1" s="219"/>
      <c r="E1" s="219"/>
      <c r="F1" s="219"/>
      <c r="G1" s="219"/>
    </row>
    <row r="2" spans="1:16" x14ac:dyDescent="0.3">
      <c r="A2" s="218">
        <v>48</v>
      </c>
      <c r="B2" s="218" t="s">
        <v>174</v>
      </c>
      <c r="C2" s="220">
        <v>13365</v>
      </c>
      <c r="D2" s="219"/>
      <c r="E2" s="219"/>
      <c r="F2" s="219"/>
      <c r="G2" s="219"/>
    </row>
    <row r="3" spans="1:16" x14ac:dyDescent="0.3">
      <c r="A3" s="221">
        <v>7.2300000000000003E-2</v>
      </c>
      <c r="B3" s="218" t="s">
        <v>175</v>
      </c>
      <c r="C3" s="361" t="s">
        <v>389</v>
      </c>
      <c r="D3" s="219"/>
      <c r="E3" s="219"/>
      <c r="F3" s="219"/>
      <c r="G3" s="219"/>
    </row>
    <row r="4" spans="1:16" x14ac:dyDescent="0.3">
      <c r="A4">
        <f>A3/12</f>
        <v>6.025E-3</v>
      </c>
      <c r="B4" s="218" t="s">
        <v>176</v>
      </c>
      <c r="D4" s="219"/>
      <c r="E4" s="219"/>
      <c r="F4" s="219"/>
      <c r="G4" s="219"/>
    </row>
    <row r="5" spans="1:16" x14ac:dyDescent="0.3">
      <c r="A5" s="223"/>
      <c r="B5" s="223"/>
      <c r="C5" s="219"/>
      <c r="D5" s="219"/>
      <c r="E5" s="219"/>
      <c r="F5" s="219"/>
      <c r="G5" s="219"/>
      <c r="J5" s="12" t="s">
        <v>177</v>
      </c>
      <c r="K5" s="272">
        <f>'TB Match'!B1</f>
        <v>46022</v>
      </c>
      <c r="L5"/>
      <c r="M5" t="s">
        <v>178</v>
      </c>
      <c r="N5" s="11">
        <f>SUMIF(H:H,"&lt;="&amp;DATE(YEAR(K5),MONTH(K5)+12,DAY(K5)),D:D)-SUMIF(H:H,"&lt;"&amp;K5+1,D:D)</f>
        <v>130327.01288613329</v>
      </c>
      <c r="O5" s="226">
        <v>128908.44</v>
      </c>
      <c r="P5" s="226">
        <f>O5-N5</f>
        <v>-1418.57288613329</v>
      </c>
    </row>
    <row r="6" spans="1:16" x14ac:dyDescent="0.3">
      <c r="A6" s="223"/>
      <c r="B6" s="223"/>
      <c r="C6" s="219"/>
      <c r="D6" s="219"/>
      <c r="E6" s="219"/>
      <c r="F6" s="219"/>
      <c r="G6" s="219"/>
      <c r="J6"/>
      <c r="K6"/>
      <c r="L6"/>
      <c r="M6" t="s">
        <v>179</v>
      </c>
      <c r="N6" s="362">
        <f>INDEX(B:F,MATCH(K5,H:H,0),5)-N5</f>
        <v>332358.96945700375</v>
      </c>
      <c r="O6" s="218">
        <v>333777.53999999998</v>
      </c>
      <c r="P6" s="226">
        <f>O6-N6</f>
        <v>1418.5705429962254</v>
      </c>
    </row>
    <row r="7" spans="1:16" x14ac:dyDescent="0.3">
      <c r="A7" s="228"/>
      <c r="B7" s="228"/>
      <c r="C7" s="226"/>
      <c r="D7" s="226"/>
      <c r="E7" s="226"/>
      <c r="F7" s="226"/>
      <c r="G7" s="226"/>
      <c r="J7"/>
      <c r="K7"/>
      <c r="L7"/>
      <c r="M7" s="12" t="s">
        <v>7</v>
      </c>
      <c r="N7" s="229">
        <f>N6+N5</f>
        <v>462685.98234313703</v>
      </c>
    </row>
    <row r="8" spans="1:16" x14ac:dyDescent="0.3">
      <c r="A8" s="228"/>
      <c r="B8" s="228"/>
      <c r="C8" s="230" t="s">
        <v>11</v>
      </c>
      <c r="D8" s="230" t="s">
        <v>38</v>
      </c>
      <c r="E8" s="230" t="s">
        <v>12</v>
      </c>
      <c r="F8" s="230" t="s">
        <v>180</v>
      </c>
      <c r="G8" s="230" t="s">
        <v>181</v>
      </c>
      <c r="H8" s="218" t="s">
        <v>8</v>
      </c>
      <c r="J8"/>
      <c r="K8"/>
      <c r="L8"/>
      <c r="M8" s="274" t="s">
        <v>37</v>
      </c>
      <c r="N8" s="232">
        <f>INDEX(B:F,MATCH(K5,H:H,0),5)-N7</f>
        <v>0</v>
      </c>
    </row>
    <row r="9" spans="1:16" x14ac:dyDescent="0.3">
      <c r="A9" s="233">
        <v>45747</v>
      </c>
      <c r="B9" s="234">
        <v>0</v>
      </c>
      <c r="C9" s="235"/>
      <c r="D9" s="236"/>
      <c r="E9" s="236"/>
      <c r="F9" s="236">
        <f>A1-C9</f>
        <v>555000</v>
      </c>
      <c r="G9" s="236"/>
      <c r="H9" s="233">
        <v>45747</v>
      </c>
    </row>
    <row r="10" spans="1:16" x14ac:dyDescent="0.3">
      <c r="A10" s="233">
        <v>45777</v>
      </c>
      <c r="B10" s="234">
        <v>1</v>
      </c>
      <c r="C10" s="237">
        <f>$C$2</f>
        <v>13365</v>
      </c>
      <c r="D10" s="236">
        <f>C10-E10</f>
        <v>10021.125</v>
      </c>
      <c r="E10" s="236">
        <f>(F9+G9)*(1/12)*$A$3</f>
        <v>3343.875</v>
      </c>
      <c r="F10" s="236">
        <f>F9-D10</f>
        <v>544978.875</v>
      </c>
      <c r="G10" s="236"/>
      <c r="H10" s="233">
        <v>45777</v>
      </c>
    </row>
    <row r="11" spans="1:16" x14ac:dyDescent="0.3">
      <c r="A11" s="233">
        <f t="shared" ref="A11:A57" si="0">EOMONTH(A10,1)</f>
        <v>45808</v>
      </c>
      <c r="B11" s="234">
        <v>2</v>
      </c>
      <c r="C11" s="237">
        <f t="shared" ref="C11:C57" si="1">$C$2</f>
        <v>13365</v>
      </c>
      <c r="D11" s="236">
        <f t="shared" ref="D11:D16" si="2">C11-E11</f>
        <v>10081.502278125001</v>
      </c>
      <c r="E11" s="236">
        <f t="shared" ref="E11:E57" si="3">(F10+G10)*(1/12)*$A$3</f>
        <v>3283.497721875</v>
      </c>
      <c r="F11" s="236">
        <f t="shared" ref="F11:F57" si="4">F10-D11</f>
        <v>534897.37272187497</v>
      </c>
      <c r="G11" s="236"/>
      <c r="H11" s="233">
        <f t="shared" ref="H11:H47" si="5">EOMONTH(H10,1)</f>
        <v>45808</v>
      </c>
    </row>
    <row r="12" spans="1:16" x14ac:dyDescent="0.3">
      <c r="A12" s="233">
        <f t="shared" si="0"/>
        <v>45838</v>
      </c>
      <c r="B12" s="234">
        <v>3</v>
      </c>
      <c r="C12" s="237">
        <f t="shared" si="1"/>
        <v>13365</v>
      </c>
      <c r="D12" s="236">
        <f t="shared" si="2"/>
        <v>10142.243329350704</v>
      </c>
      <c r="E12" s="236">
        <f t="shared" si="3"/>
        <v>3222.7566706492967</v>
      </c>
      <c r="F12" s="236">
        <f t="shared" si="4"/>
        <v>524755.12939252425</v>
      </c>
      <c r="G12" s="236"/>
      <c r="H12" s="233">
        <f t="shared" si="5"/>
        <v>45838</v>
      </c>
    </row>
    <row r="13" spans="1:16" x14ac:dyDescent="0.3">
      <c r="A13" s="233">
        <f t="shared" si="0"/>
        <v>45869</v>
      </c>
      <c r="B13" s="234">
        <v>4</v>
      </c>
      <c r="C13" s="237">
        <f t="shared" si="1"/>
        <v>13365</v>
      </c>
      <c r="D13" s="236">
        <f t="shared" si="2"/>
        <v>10203.350345410041</v>
      </c>
      <c r="E13" s="236">
        <f t="shared" si="3"/>
        <v>3161.6496545899586</v>
      </c>
      <c r="F13" s="236">
        <f t="shared" si="4"/>
        <v>514551.77904711419</v>
      </c>
      <c r="G13" s="236"/>
      <c r="H13" s="233">
        <f t="shared" si="5"/>
        <v>45869</v>
      </c>
    </row>
    <row r="14" spans="1:16" x14ac:dyDescent="0.3">
      <c r="A14" s="233">
        <f t="shared" si="0"/>
        <v>45900</v>
      </c>
      <c r="B14" s="234">
        <v>5</v>
      </c>
      <c r="C14" s="237">
        <f t="shared" si="1"/>
        <v>13365</v>
      </c>
      <c r="D14" s="236">
        <f t="shared" si="2"/>
        <v>10264.825531241137</v>
      </c>
      <c r="E14" s="236">
        <f t="shared" si="3"/>
        <v>3100.174468758863</v>
      </c>
      <c r="F14" s="236">
        <f t="shared" si="4"/>
        <v>504286.95351587306</v>
      </c>
      <c r="G14" s="236"/>
      <c r="H14" s="233">
        <f t="shared" si="5"/>
        <v>45900</v>
      </c>
      <c r="J14" s="390">
        <f>C14+'23400 - CCJ True Loan (2)'!C14</f>
        <v>15268</v>
      </c>
    </row>
    <row r="15" spans="1:16" x14ac:dyDescent="0.3">
      <c r="A15" s="233">
        <f t="shared" si="0"/>
        <v>45930</v>
      </c>
      <c r="B15" s="234">
        <v>6</v>
      </c>
      <c r="C15" s="237">
        <f t="shared" si="1"/>
        <v>13365</v>
      </c>
      <c r="D15" s="236">
        <f t="shared" si="2"/>
        <v>10326.671105066865</v>
      </c>
      <c r="E15" s="236">
        <f t="shared" si="3"/>
        <v>3038.328894933135</v>
      </c>
      <c r="F15" s="236">
        <f t="shared" si="4"/>
        <v>493960.28241080622</v>
      </c>
      <c r="G15" s="236"/>
      <c r="H15" s="233">
        <f t="shared" si="5"/>
        <v>45930</v>
      </c>
    </row>
    <row r="16" spans="1:16" x14ac:dyDescent="0.3">
      <c r="A16" s="233">
        <f t="shared" si="0"/>
        <v>45961</v>
      </c>
      <c r="B16" s="234">
        <v>7</v>
      </c>
      <c r="C16" s="237">
        <f t="shared" si="1"/>
        <v>13365</v>
      </c>
      <c r="D16" s="236">
        <f t="shared" si="2"/>
        <v>10388.889298474893</v>
      </c>
      <c r="E16" s="236">
        <f t="shared" si="3"/>
        <v>2976.1107015251077</v>
      </c>
      <c r="F16" s="236">
        <f t="shared" si="4"/>
        <v>483571.39311233134</v>
      </c>
      <c r="G16" s="236"/>
      <c r="H16" s="233">
        <f t="shared" si="5"/>
        <v>45961</v>
      </c>
    </row>
    <row r="17" spans="1:9" x14ac:dyDescent="0.3">
      <c r="A17" s="233">
        <f t="shared" si="0"/>
        <v>45991</v>
      </c>
      <c r="B17" s="234">
        <v>8</v>
      </c>
      <c r="C17" s="237">
        <v>0</v>
      </c>
      <c r="D17" s="236">
        <v>0</v>
      </c>
      <c r="E17" s="236">
        <f t="shared" si="3"/>
        <v>2913.5176435017961</v>
      </c>
      <c r="F17" s="236">
        <f t="shared" si="4"/>
        <v>483571.39311233134</v>
      </c>
      <c r="G17" s="236">
        <f>E17</f>
        <v>2913.5176435017961</v>
      </c>
      <c r="H17" s="233">
        <f t="shared" si="5"/>
        <v>45991</v>
      </c>
      <c r="I17" s="220" t="s">
        <v>451</v>
      </c>
    </row>
    <row r="18" spans="1:9" x14ac:dyDescent="0.3">
      <c r="A18" s="233">
        <f t="shared" si="0"/>
        <v>46022</v>
      </c>
      <c r="B18" s="234">
        <v>9</v>
      </c>
      <c r="C18" s="237">
        <f>$C$2*2</f>
        <v>26730</v>
      </c>
      <c r="D18" s="236">
        <f>C18-E17-E18</f>
        <v>20885.41076919431</v>
      </c>
      <c r="E18" s="236">
        <f t="shared" si="3"/>
        <v>2931.0715873038948</v>
      </c>
      <c r="F18" s="236">
        <f t="shared" si="4"/>
        <v>462685.98234313703</v>
      </c>
      <c r="G18" s="236">
        <v>0</v>
      </c>
      <c r="H18" s="233">
        <f t="shared" si="5"/>
        <v>46022</v>
      </c>
      <c r="I18" s="220"/>
    </row>
    <row r="19" spans="1:9" x14ac:dyDescent="0.3">
      <c r="A19" s="238">
        <f t="shared" si="0"/>
        <v>46053</v>
      </c>
      <c r="B19" s="228">
        <v>10</v>
      </c>
      <c r="C19" s="239">
        <f t="shared" si="1"/>
        <v>13365</v>
      </c>
      <c r="D19" s="220">
        <f t="shared" ref="D19:D57" si="6">C19-E18</f>
        <v>10433.928412696105</v>
      </c>
      <c r="E19" s="226">
        <f t="shared" si="3"/>
        <v>2787.6830436174009</v>
      </c>
      <c r="F19" s="226">
        <f t="shared" si="4"/>
        <v>452252.05393044092</v>
      </c>
      <c r="G19" s="226"/>
      <c r="H19" s="238">
        <f t="shared" si="5"/>
        <v>46053</v>
      </c>
    </row>
    <row r="20" spans="1:9" x14ac:dyDescent="0.3">
      <c r="A20" s="238">
        <f t="shared" si="0"/>
        <v>46081</v>
      </c>
      <c r="B20" s="228">
        <v>11</v>
      </c>
      <c r="C20" s="239">
        <f t="shared" si="1"/>
        <v>13365</v>
      </c>
      <c r="D20" s="220">
        <f t="shared" si="6"/>
        <v>10577.3169563826</v>
      </c>
      <c r="E20" s="226">
        <f t="shared" si="3"/>
        <v>2724.8186249309065</v>
      </c>
      <c r="F20" s="226">
        <f t="shared" si="4"/>
        <v>441674.73697405832</v>
      </c>
      <c r="G20" s="226"/>
      <c r="H20" s="238">
        <f t="shared" si="5"/>
        <v>46081</v>
      </c>
    </row>
    <row r="21" spans="1:9" x14ac:dyDescent="0.3">
      <c r="A21" s="238">
        <f t="shared" si="0"/>
        <v>46112</v>
      </c>
      <c r="B21" s="228">
        <v>12</v>
      </c>
      <c r="C21" s="239">
        <f t="shared" si="1"/>
        <v>13365</v>
      </c>
      <c r="D21" s="220">
        <f t="shared" si="6"/>
        <v>10640.181375069093</v>
      </c>
      <c r="E21" s="226">
        <f t="shared" si="3"/>
        <v>2661.0902902687012</v>
      </c>
      <c r="F21" s="226">
        <f t="shared" si="4"/>
        <v>431034.55559898925</v>
      </c>
      <c r="G21" s="226"/>
      <c r="H21" s="238">
        <f t="shared" si="5"/>
        <v>46112</v>
      </c>
    </row>
    <row r="22" spans="1:9" x14ac:dyDescent="0.3">
      <c r="A22" s="238">
        <f t="shared" si="0"/>
        <v>46142</v>
      </c>
      <c r="B22" s="228">
        <v>13</v>
      </c>
      <c r="C22" s="239">
        <f t="shared" si="1"/>
        <v>13365</v>
      </c>
      <c r="D22" s="220">
        <f t="shared" si="6"/>
        <v>10703.909709731299</v>
      </c>
      <c r="E22" s="226">
        <f t="shared" si="3"/>
        <v>2596.9831974839103</v>
      </c>
      <c r="F22" s="226">
        <f t="shared" si="4"/>
        <v>420330.64588925795</v>
      </c>
      <c r="G22" s="226"/>
      <c r="H22" s="238">
        <f t="shared" si="5"/>
        <v>46142</v>
      </c>
    </row>
    <row r="23" spans="1:9" x14ac:dyDescent="0.3">
      <c r="A23" s="238">
        <f t="shared" si="0"/>
        <v>46173</v>
      </c>
      <c r="B23" s="228">
        <v>14</v>
      </c>
      <c r="C23" s="239">
        <f t="shared" si="1"/>
        <v>13365</v>
      </c>
      <c r="D23" s="220">
        <f t="shared" si="6"/>
        <v>10768.016802516089</v>
      </c>
      <c r="E23" s="226">
        <f t="shared" si="3"/>
        <v>2532.4921414827791</v>
      </c>
      <c r="F23" s="226">
        <f t="shared" si="4"/>
        <v>409562.62908674189</v>
      </c>
      <c r="G23" s="226"/>
      <c r="H23" s="238">
        <f t="shared" si="5"/>
        <v>46173</v>
      </c>
    </row>
    <row r="24" spans="1:9" x14ac:dyDescent="0.3">
      <c r="A24" s="238">
        <f t="shared" si="0"/>
        <v>46203</v>
      </c>
      <c r="B24" s="228">
        <v>15</v>
      </c>
      <c r="C24" s="239">
        <f t="shared" si="1"/>
        <v>13365</v>
      </c>
      <c r="D24" s="220">
        <f t="shared" si="6"/>
        <v>10832.507858517221</v>
      </c>
      <c r="E24" s="226">
        <f t="shared" si="3"/>
        <v>2467.6148402476197</v>
      </c>
      <c r="F24" s="226">
        <f t="shared" si="4"/>
        <v>398730.12122822466</v>
      </c>
      <c r="G24" s="226"/>
      <c r="H24" s="238">
        <f t="shared" si="5"/>
        <v>46203</v>
      </c>
    </row>
    <row r="25" spans="1:9" x14ac:dyDescent="0.3">
      <c r="A25" s="238">
        <f t="shared" si="0"/>
        <v>46234</v>
      </c>
      <c r="B25" s="228">
        <v>16</v>
      </c>
      <c r="C25" s="239">
        <f t="shared" si="1"/>
        <v>13365</v>
      </c>
      <c r="D25" s="220">
        <f t="shared" si="6"/>
        <v>10897.385159752381</v>
      </c>
      <c r="E25" s="226">
        <f t="shared" si="3"/>
        <v>2402.3489804000537</v>
      </c>
      <c r="F25" s="226">
        <f t="shared" si="4"/>
        <v>387832.73606847227</v>
      </c>
      <c r="G25" s="226"/>
      <c r="H25" s="238">
        <f t="shared" si="5"/>
        <v>46234</v>
      </c>
    </row>
    <row r="26" spans="1:9" x14ac:dyDescent="0.3">
      <c r="A26" s="238">
        <f t="shared" si="0"/>
        <v>46265</v>
      </c>
      <c r="B26" s="228">
        <v>17</v>
      </c>
      <c r="C26" s="239">
        <f t="shared" si="1"/>
        <v>13365</v>
      </c>
      <c r="D26" s="220">
        <f t="shared" si="6"/>
        <v>10962.651019599947</v>
      </c>
      <c r="E26" s="226">
        <f t="shared" si="3"/>
        <v>2336.6922348125454</v>
      </c>
      <c r="F26" s="226">
        <f t="shared" si="4"/>
        <v>376870.08504887234</v>
      </c>
      <c r="G26" s="226"/>
      <c r="H26" s="238">
        <f t="shared" si="5"/>
        <v>46265</v>
      </c>
    </row>
    <row r="27" spans="1:9" x14ac:dyDescent="0.3">
      <c r="A27" s="238">
        <f t="shared" si="0"/>
        <v>46295</v>
      </c>
      <c r="B27" s="228">
        <v>18</v>
      </c>
      <c r="C27" s="239">
        <f t="shared" si="1"/>
        <v>13365</v>
      </c>
      <c r="D27" s="220">
        <f t="shared" si="6"/>
        <v>11028.307765187456</v>
      </c>
      <c r="E27" s="226">
        <f t="shared" si="3"/>
        <v>2270.6422624194561</v>
      </c>
      <c r="F27" s="226">
        <f t="shared" si="4"/>
        <v>365841.77728368487</v>
      </c>
      <c r="G27" s="226"/>
      <c r="H27" s="238">
        <f t="shared" si="5"/>
        <v>46295</v>
      </c>
    </row>
    <row r="28" spans="1:9" x14ac:dyDescent="0.3">
      <c r="A28" s="238">
        <f t="shared" si="0"/>
        <v>46326</v>
      </c>
      <c r="B28" s="228">
        <v>19</v>
      </c>
      <c r="C28" s="239">
        <f t="shared" si="1"/>
        <v>13365</v>
      </c>
      <c r="D28" s="220">
        <f t="shared" si="6"/>
        <v>11094.357737580543</v>
      </c>
      <c r="E28" s="226">
        <f t="shared" si="3"/>
        <v>2204.1967081342013</v>
      </c>
      <c r="F28" s="226">
        <f t="shared" si="4"/>
        <v>354747.41954610433</v>
      </c>
      <c r="G28" s="226"/>
      <c r="H28" s="238">
        <f t="shared" si="5"/>
        <v>46326</v>
      </c>
    </row>
    <row r="29" spans="1:9" x14ac:dyDescent="0.3">
      <c r="A29" s="238">
        <f t="shared" si="0"/>
        <v>46356</v>
      </c>
      <c r="B29" s="228">
        <v>20</v>
      </c>
      <c r="C29" s="239">
        <f t="shared" si="1"/>
        <v>13365</v>
      </c>
      <c r="D29" s="220">
        <f t="shared" si="6"/>
        <v>11160.803291865799</v>
      </c>
      <c r="E29" s="226">
        <f t="shared" si="3"/>
        <v>2137.3532027652786</v>
      </c>
      <c r="F29" s="226">
        <f t="shared" si="4"/>
        <v>343586.61625423853</v>
      </c>
      <c r="G29" s="226"/>
      <c r="H29" s="238">
        <f t="shared" si="5"/>
        <v>46356</v>
      </c>
    </row>
    <row r="30" spans="1:9" x14ac:dyDescent="0.3">
      <c r="A30" s="238">
        <f t="shared" si="0"/>
        <v>46387</v>
      </c>
      <c r="B30" s="228">
        <v>21</v>
      </c>
      <c r="C30" s="239">
        <f t="shared" si="1"/>
        <v>13365</v>
      </c>
      <c r="D30" s="220">
        <f t="shared" si="6"/>
        <v>11227.646797234722</v>
      </c>
      <c r="E30" s="226">
        <f t="shared" si="3"/>
        <v>2070.109362931787</v>
      </c>
      <c r="F30" s="226">
        <f t="shared" si="4"/>
        <v>332358.96945700381</v>
      </c>
      <c r="G30" s="226"/>
      <c r="H30" s="238">
        <f t="shared" si="5"/>
        <v>46387</v>
      </c>
    </row>
    <row r="31" spans="1:9" x14ac:dyDescent="0.3">
      <c r="A31" s="238">
        <f t="shared" si="0"/>
        <v>46418</v>
      </c>
      <c r="B31" s="228">
        <v>22</v>
      </c>
      <c r="C31" s="239">
        <f t="shared" si="1"/>
        <v>13365</v>
      </c>
      <c r="D31" s="220">
        <f t="shared" si="6"/>
        <v>11294.890637068213</v>
      </c>
      <c r="E31" s="226">
        <f t="shared" si="3"/>
        <v>2002.4627909784481</v>
      </c>
      <c r="F31" s="226">
        <f t="shared" si="4"/>
        <v>321064.07881993562</v>
      </c>
      <c r="G31" s="226"/>
      <c r="H31" s="238">
        <f t="shared" si="5"/>
        <v>46418</v>
      </c>
    </row>
    <row r="32" spans="1:9" x14ac:dyDescent="0.3">
      <c r="A32" s="238">
        <f t="shared" si="0"/>
        <v>46446</v>
      </c>
      <c r="B32" s="228">
        <v>23</v>
      </c>
      <c r="C32" s="239">
        <f t="shared" si="1"/>
        <v>13365</v>
      </c>
      <c r="D32" s="220">
        <f t="shared" si="6"/>
        <v>11362.537209021551</v>
      </c>
      <c r="E32" s="226">
        <f t="shared" si="3"/>
        <v>1934.4110748901121</v>
      </c>
      <c r="F32" s="226">
        <f t="shared" si="4"/>
        <v>309701.54161091405</v>
      </c>
      <c r="G32" s="226"/>
      <c r="H32" s="238">
        <f t="shared" si="5"/>
        <v>46446</v>
      </c>
    </row>
    <row r="33" spans="1:8" x14ac:dyDescent="0.3">
      <c r="A33" s="238">
        <f t="shared" si="0"/>
        <v>46477</v>
      </c>
      <c r="B33" s="228">
        <v>24</v>
      </c>
      <c r="C33" s="239">
        <f t="shared" si="1"/>
        <v>13365</v>
      </c>
      <c r="D33" s="220">
        <f t="shared" si="6"/>
        <v>11430.588925109889</v>
      </c>
      <c r="E33" s="226">
        <f t="shared" si="3"/>
        <v>1865.9517882057571</v>
      </c>
      <c r="F33" s="226">
        <f t="shared" si="4"/>
        <v>298270.95268580416</v>
      </c>
      <c r="G33" s="226"/>
      <c r="H33" s="238">
        <f t="shared" si="5"/>
        <v>46477</v>
      </c>
    </row>
    <row r="34" spans="1:8" x14ac:dyDescent="0.3">
      <c r="A34" s="238">
        <f t="shared" si="0"/>
        <v>46507</v>
      </c>
      <c r="B34" s="228">
        <v>25</v>
      </c>
      <c r="C34" s="239">
        <f t="shared" si="1"/>
        <v>13365</v>
      </c>
      <c r="D34" s="220">
        <f t="shared" si="6"/>
        <v>11499.048211794243</v>
      </c>
      <c r="E34" s="226">
        <f t="shared" si="3"/>
        <v>1797.08248993197</v>
      </c>
      <c r="F34" s="226">
        <f t="shared" si="4"/>
        <v>286771.90447400993</v>
      </c>
      <c r="G34" s="226"/>
      <c r="H34" s="238">
        <f t="shared" si="5"/>
        <v>46507</v>
      </c>
    </row>
    <row r="35" spans="1:8" x14ac:dyDescent="0.3">
      <c r="A35" s="238">
        <f t="shared" si="0"/>
        <v>46538</v>
      </c>
      <c r="B35" s="228">
        <v>26</v>
      </c>
      <c r="C35" s="239">
        <f t="shared" si="1"/>
        <v>13365</v>
      </c>
      <c r="D35" s="220">
        <f t="shared" si="6"/>
        <v>11567.91751006803</v>
      </c>
      <c r="E35" s="226">
        <f t="shared" si="3"/>
        <v>1727.8007244559099</v>
      </c>
      <c r="F35" s="226">
        <f t="shared" si="4"/>
        <v>275203.98696394189</v>
      </c>
      <c r="G35" s="226"/>
      <c r="H35" s="238">
        <f t="shared" si="5"/>
        <v>46538</v>
      </c>
    </row>
    <row r="36" spans="1:8" x14ac:dyDescent="0.3">
      <c r="A36" s="238">
        <f t="shared" si="0"/>
        <v>46568</v>
      </c>
      <c r="B36" s="228">
        <v>27</v>
      </c>
      <c r="C36" s="239">
        <f t="shared" si="1"/>
        <v>13365</v>
      </c>
      <c r="D36" s="220">
        <f t="shared" si="6"/>
        <v>11637.19927554409</v>
      </c>
      <c r="E36" s="226">
        <f t="shared" si="3"/>
        <v>1658.1040214577497</v>
      </c>
      <c r="F36" s="226">
        <f t="shared" si="4"/>
        <v>263566.7876883978</v>
      </c>
      <c r="G36" s="226"/>
      <c r="H36" s="238">
        <f t="shared" si="5"/>
        <v>46568</v>
      </c>
    </row>
    <row r="37" spans="1:8" x14ac:dyDescent="0.3">
      <c r="A37" s="238">
        <f t="shared" si="0"/>
        <v>46599</v>
      </c>
      <c r="B37" s="228">
        <v>28</v>
      </c>
      <c r="C37" s="239">
        <f t="shared" si="1"/>
        <v>13365</v>
      </c>
      <c r="D37" s="220">
        <f t="shared" si="6"/>
        <v>11706.89597854225</v>
      </c>
      <c r="E37" s="226">
        <f t="shared" si="3"/>
        <v>1587.9898958225967</v>
      </c>
      <c r="F37" s="226">
        <f t="shared" si="4"/>
        <v>251859.89170985555</v>
      </c>
      <c r="G37" s="226"/>
      <c r="H37" s="238">
        <f t="shared" si="5"/>
        <v>46599</v>
      </c>
    </row>
    <row r="38" spans="1:8" x14ac:dyDescent="0.3">
      <c r="A38" s="238">
        <f t="shared" si="0"/>
        <v>46630</v>
      </c>
      <c r="B38" s="228">
        <v>29</v>
      </c>
      <c r="C38" s="239">
        <f t="shared" si="1"/>
        <v>13365</v>
      </c>
      <c r="D38" s="220">
        <f t="shared" si="6"/>
        <v>11777.010104177403</v>
      </c>
      <c r="E38" s="226">
        <f t="shared" si="3"/>
        <v>1517.4558475518797</v>
      </c>
      <c r="F38" s="226">
        <f t="shared" si="4"/>
        <v>240082.88160567815</v>
      </c>
      <c r="G38" s="226"/>
      <c r="H38" s="238">
        <f t="shared" si="5"/>
        <v>46630</v>
      </c>
    </row>
    <row r="39" spans="1:8" x14ac:dyDescent="0.3">
      <c r="A39" s="238">
        <f t="shared" si="0"/>
        <v>46660</v>
      </c>
      <c r="B39" s="228">
        <v>30</v>
      </c>
      <c r="C39" s="239">
        <f t="shared" si="1"/>
        <v>13365</v>
      </c>
      <c r="D39" s="220">
        <f t="shared" si="6"/>
        <v>11847.544152448121</v>
      </c>
      <c r="E39" s="226">
        <f t="shared" si="3"/>
        <v>1446.4993616742108</v>
      </c>
      <c r="F39" s="226">
        <f t="shared" si="4"/>
        <v>228235.33745323002</v>
      </c>
      <c r="G39" s="226"/>
      <c r="H39" s="238">
        <f t="shared" si="5"/>
        <v>46660</v>
      </c>
    </row>
    <row r="40" spans="1:8" x14ac:dyDescent="0.3">
      <c r="A40" s="238">
        <f t="shared" si="0"/>
        <v>46691</v>
      </c>
      <c r="B40" s="228">
        <v>31</v>
      </c>
      <c r="C40" s="239">
        <f t="shared" si="1"/>
        <v>13365</v>
      </c>
      <c r="D40" s="220">
        <f t="shared" si="6"/>
        <v>11918.50063832579</v>
      </c>
      <c r="E40" s="226">
        <f t="shared" si="3"/>
        <v>1375.1179081557109</v>
      </c>
      <c r="F40" s="226">
        <f t="shared" si="4"/>
        <v>216316.83681490424</v>
      </c>
      <c r="G40" s="226"/>
      <c r="H40" s="238">
        <f t="shared" si="5"/>
        <v>46691</v>
      </c>
    </row>
    <row r="41" spans="1:8" x14ac:dyDescent="0.3">
      <c r="A41" s="238">
        <f t="shared" si="0"/>
        <v>46721</v>
      </c>
      <c r="B41" s="228">
        <v>32</v>
      </c>
      <c r="C41" s="239">
        <f t="shared" si="1"/>
        <v>13365</v>
      </c>
      <c r="D41" s="220">
        <f t="shared" si="6"/>
        <v>11989.882091844289</v>
      </c>
      <c r="E41" s="226">
        <f t="shared" si="3"/>
        <v>1303.3089418097982</v>
      </c>
      <c r="F41" s="226">
        <f t="shared" si="4"/>
        <v>204326.95472305996</v>
      </c>
      <c r="G41" s="226"/>
      <c r="H41" s="238">
        <f t="shared" si="5"/>
        <v>46721</v>
      </c>
    </row>
    <row r="42" spans="1:8" x14ac:dyDescent="0.3">
      <c r="A42" s="238">
        <f t="shared" si="0"/>
        <v>46752</v>
      </c>
      <c r="B42" s="228">
        <v>33</v>
      </c>
      <c r="C42" s="239">
        <f t="shared" si="1"/>
        <v>13365</v>
      </c>
      <c r="D42" s="220">
        <f t="shared" si="6"/>
        <v>12061.691058190201</v>
      </c>
      <c r="E42" s="226">
        <f t="shared" si="3"/>
        <v>1231.0699022064364</v>
      </c>
      <c r="F42" s="226">
        <f t="shared" si="4"/>
        <v>192265.26366486977</v>
      </c>
      <c r="G42" s="226"/>
      <c r="H42" s="238">
        <f t="shared" si="5"/>
        <v>46752</v>
      </c>
    </row>
    <row r="43" spans="1:8" x14ac:dyDescent="0.3">
      <c r="A43" s="238">
        <f t="shared" si="0"/>
        <v>46783</v>
      </c>
      <c r="B43" s="228">
        <v>34</v>
      </c>
      <c r="C43" s="239">
        <v>10923.82</v>
      </c>
      <c r="D43" s="220">
        <f t="shared" si="6"/>
        <v>9692.7500977935633</v>
      </c>
      <c r="E43" s="226">
        <f t="shared" si="3"/>
        <v>1158.3982135808403</v>
      </c>
      <c r="F43" s="226">
        <f t="shared" si="4"/>
        <v>182572.51356707621</v>
      </c>
      <c r="G43" s="226"/>
      <c r="H43" s="238">
        <f t="shared" si="5"/>
        <v>46783</v>
      </c>
    </row>
    <row r="44" spans="1:8" x14ac:dyDescent="0.3">
      <c r="A44" s="238">
        <f t="shared" si="0"/>
        <v>46812</v>
      </c>
      <c r="B44" s="228">
        <v>35</v>
      </c>
      <c r="C44" s="239">
        <f t="shared" si="1"/>
        <v>13365</v>
      </c>
      <c r="D44" s="220">
        <f t="shared" si="6"/>
        <v>12206.60178641916</v>
      </c>
      <c r="E44" s="226">
        <f t="shared" si="3"/>
        <v>1099.9993942416343</v>
      </c>
      <c r="F44" s="226">
        <f t="shared" si="4"/>
        <v>170365.91178065704</v>
      </c>
      <c r="G44" s="226"/>
      <c r="H44" s="238">
        <f t="shared" si="5"/>
        <v>46812</v>
      </c>
    </row>
    <row r="45" spans="1:8" x14ac:dyDescent="0.3">
      <c r="A45" s="238">
        <f t="shared" si="0"/>
        <v>46843</v>
      </c>
      <c r="B45" s="228">
        <v>36</v>
      </c>
      <c r="C45" s="239">
        <f t="shared" si="1"/>
        <v>13365</v>
      </c>
      <c r="D45" s="220">
        <f t="shared" si="6"/>
        <v>12265.000605758365</v>
      </c>
      <c r="E45" s="226">
        <f t="shared" si="3"/>
        <v>1026.4546184784585</v>
      </c>
      <c r="F45" s="226">
        <f t="shared" si="4"/>
        <v>158100.91117489868</v>
      </c>
      <c r="G45" s="226"/>
      <c r="H45" s="238">
        <f t="shared" si="5"/>
        <v>46843</v>
      </c>
    </row>
    <row r="46" spans="1:8" x14ac:dyDescent="0.3">
      <c r="A46" s="238">
        <f t="shared" si="0"/>
        <v>46873</v>
      </c>
      <c r="B46" s="228">
        <v>37</v>
      </c>
      <c r="C46" s="239">
        <f t="shared" si="1"/>
        <v>13365</v>
      </c>
      <c r="D46" s="220">
        <f t="shared" si="6"/>
        <v>12338.545381521541</v>
      </c>
      <c r="E46" s="226">
        <f t="shared" si="3"/>
        <v>952.55798982876456</v>
      </c>
      <c r="F46" s="226">
        <f t="shared" si="4"/>
        <v>145762.36579337713</v>
      </c>
      <c r="G46" s="226"/>
      <c r="H46" s="238">
        <f t="shared" si="5"/>
        <v>46873</v>
      </c>
    </row>
    <row r="47" spans="1:8" x14ac:dyDescent="0.3">
      <c r="A47" s="238">
        <f t="shared" si="0"/>
        <v>46904</v>
      </c>
      <c r="B47" s="228">
        <v>38</v>
      </c>
      <c r="C47" s="239">
        <f t="shared" si="1"/>
        <v>13365</v>
      </c>
      <c r="D47" s="220">
        <f t="shared" si="6"/>
        <v>12412.442010171235</v>
      </c>
      <c r="E47" s="226">
        <f t="shared" si="3"/>
        <v>878.2182539050973</v>
      </c>
      <c r="F47" s="226">
        <f t="shared" si="4"/>
        <v>133349.92378320589</v>
      </c>
      <c r="G47" s="226"/>
      <c r="H47" s="238">
        <f t="shared" si="5"/>
        <v>46904</v>
      </c>
    </row>
    <row r="48" spans="1:8" x14ac:dyDescent="0.3">
      <c r="A48" s="238">
        <f t="shared" si="0"/>
        <v>46934</v>
      </c>
      <c r="B48" s="228">
        <v>39</v>
      </c>
      <c r="C48" s="239">
        <f t="shared" si="1"/>
        <v>13365</v>
      </c>
      <c r="D48" s="220">
        <f t="shared" si="6"/>
        <v>12486.781746094903</v>
      </c>
      <c r="E48" s="226">
        <f t="shared" si="3"/>
        <v>803.43329079381544</v>
      </c>
      <c r="F48" s="226">
        <f t="shared" si="4"/>
        <v>120863.14203711099</v>
      </c>
      <c r="G48" s="226"/>
      <c r="H48" s="238">
        <f>EOMONTH(H47,1)</f>
        <v>46934</v>
      </c>
    </row>
    <row r="49" spans="1:8" x14ac:dyDescent="0.3">
      <c r="A49" s="238">
        <f t="shared" si="0"/>
        <v>46965</v>
      </c>
      <c r="B49" s="228">
        <v>40</v>
      </c>
      <c r="C49" s="239">
        <f t="shared" si="1"/>
        <v>13365</v>
      </c>
      <c r="D49" s="220">
        <f t="shared" si="6"/>
        <v>12561.566709206185</v>
      </c>
      <c r="E49" s="226">
        <f t="shared" si="3"/>
        <v>728.20043077359367</v>
      </c>
      <c r="F49" s="226">
        <f t="shared" si="4"/>
        <v>108301.57532790481</v>
      </c>
      <c r="G49" s="226"/>
      <c r="H49" s="238">
        <f>EOMONTH(H48,1)</f>
        <v>46965</v>
      </c>
    </row>
    <row r="50" spans="1:8" x14ac:dyDescent="0.3">
      <c r="A50" s="238">
        <f t="shared" si="0"/>
        <v>46996</v>
      </c>
      <c r="B50" s="228">
        <v>41</v>
      </c>
      <c r="C50" s="239">
        <f t="shared" si="1"/>
        <v>13365</v>
      </c>
      <c r="D50" s="220">
        <f t="shared" si="6"/>
        <v>12636.799569226407</v>
      </c>
      <c r="E50" s="226">
        <f t="shared" si="3"/>
        <v>652.51699135062643</v>
      </c>
      <c r="F50" s="226">
        <f t="shared" si="4"/>
        <v>95664.775758678399</v>
      </c>
      <c r="G50" s="226"/>
      <c r="H50" s="238">
        <f>EOMONTH(H49,1)</f>
        <v>46996</v>
      </c>
    </row>
    <row r="51" spans="1:8" x14ac:dyDescent="0.3">
      <c r="A51" s="238">
        <f t="shared" si="0"/>
        <v>47026</v>
      </c>
      <c r="B51" s="228">
        <v>42</v>
      </c>
      <c r="C51" s="239">
        <f t="shared" si="1"/>
        <v>13365</v>
      </c>
      <c r="D51" s="220">
        <f t="shared" si="6"/>
        <v>12712.483008649373</v>
      </c>
      <c r="E51" s="226">
        <f t="shared" si="3"/>
        <v>576.38027394603739</v>
      </c>
      <c r="F51" s="226">
        <f t="shared" si="4"/>
        <v>82952.292750029024</v>
      </c>
      <c r="G51" s="226"/>
      <c r="H51" s="238">
        <f t="shared" ref="H51:H57" si="7">EOMONTH(H50,1)</f>
        <v>47026</v>
      </c>
    </row>
    <row r="52" spans="1:8" x14ac:dyDescent="0.3">
      <c r="A52" s="238">
        <f t="shared" si="0"/>
        <v>47057</v>
      </c>
      <c r="B52" s="228">
        <v>43</v>
      </c>
      <c r="C52" s="239">
        <f t="shared" si="1"/>
        <v>13365</v>
      </c>
      <c r="D52" s="220">
        <f t="shared" si="6"/>
        <v>12788.619726053963</v>
      </c>
      <c r="E52" s="226">
        <f t="shared" si="3"/>
        <v>499.78756381892487</v>
      </c>
      <c r="F52" s="226">
        <f t="shared" si="4"/>
        <v>70163.673023975061</v>
      </c>
      <c r="G52" s="226"/>
      <c r="H52" s="238">
        <f t="shared" si="7"/>
        <v>47057</v>
      </c>
    </row>
    <row r="53" spans="1:8" x14ac:dyDescent="0.3">
      <c r="A53" s="238">
        <f t="shared" si="0"/>
        <v>47087</v>
      </c>
      <c r="B53" s="228">
        <v>44</v>
      </c>
      <c r="C53" s="239">
        <f t="shared" si="1"/>
        <v>13365</v>
      </c>
      <c r="D53" s="220">
        <f t="shared" si="6"/>
        <v>12865.212436181075</v>
      </c>
      <c r="E53" s="226">
        <f t="shared" si="3"/>
        <v>422.73612996944973</v>
      </c>
      <c r="F53" s="226">
        <f t="shared" si="4"/>
        <v>57298.46058779399</v>
      </c>
      <c r="G53" s="226"/>
      <c r="H53" s="238">
        <f t="shared" si="7"/>
        <v>47087</v>
      </c>
    </row>
    <row r="54" spans="1:8" x14ac:dyDescent="0.3">
      <c r="A54" s="238">
        <f t="shared" si="0"/>
        <v>47118</v>
      </c>
      <c r="B54" s="228">
        <v>45</v>
      </c>
      <c r="C54" s="239">
        <f t="shared" si="1"/>
        <v>13365</v>
      </c>
      <c r="D54" s="220">
        <f t="shared" si="6"/>
        <v>12942.263870030551</v>
      </c>
      <c r="E54" s="226">
        <f t="shared" si="3"/>
        <v>345.22322504145876</v>
      </c>
      <c r="F54" s="226">
        <f t="shared" si="4"/>
        <v>44356.196717763436</v>
      </c>
      <c r="G54" s="226"/>
      <c r="H54" s="238">
        <f t="shared" si="7"/>
        <v>47118</v>
      </c>
    </row>
    <row r="55" spans="1:8" x14ac:dyDescent="0.3">
      <c r="A55" s="238">
        <f t="shared" si="0"/>
        <v>47149</v>
      </c>
      <c r="B55" s="228">
        <v>46</v>
      </c>
      <c r="C55" s="239">
        <f t="shared" si="1"/>
        <v>13365</v>
      </c>
      <c r="D55" s="220">
        <f t="shared" si="6"/>
        <v>13019.776774958542</v>
      </c>
      <c r="E55" s="226">
        <f t="shared" si="3"/>
        <v>267.24608522452473</v>
      </c>
      <c r="F55" s="226">
        <f t="shared" si="4"/>
        <v>31336.419942804896</v>
      </c>
      <c r="G55" s="226"/>
      <c r="H55" s="238">
        <f t="shared" si="7"/>
        <v>47149</v>
      </c>
    </row>
    <row r="56" spans="1:8" x14ac:dyDescent="0.3">
      <c r="A56" s="238">
        <f t="shared" si="0"/>
        <v>47177</v>
      </c>
      <c r="B56" s="228">
        <v>47</v>
      </c>
      <c r="C56" s="239">
        <f t="shared" si="1"/>
        <v>13365</v>
      </c>
      <c r="D56" s="220">
        <f t="shared" si="6"/>
        <v>13097.753914775476</v>
      </c>
      <c r="E56" s="226">
        <f t="shared" si="3"/>
        <v>188.8019301553995</v>
      </c>
      <c r="F56" s="226">
        <f t="shared" si="4"/>
        <v>18238.66602802942</v>
      </c>
      <c r="G56" s="226"/>
      <c r="H56" s="238">
        <f t="shared" si="7"/>
        <v>47177</v>
      </c>
    </row>
    <row r="57" spans="1:8" x14ac:dyDescent="0.3">
      <c r="A57" s="238">
        <f t="shared" si="0"/>
        <v>47208</v>
      </c>
      <c r="B57" s="228">
        <v>48</v>
      </c>
      <c r="C57" s="239">
        <f t="shared" si="1"/>
        <v>13365</v>
      </c>
      <c r="D57" s="220">
        <f t="shared" si="6"/>
        <v>13176.1980698446</v>
      </c>
      <c r="E57" s="226">
        <f t="shared" si="3"/>
        <v>109.88796281887726</v>
      </c>
      <c r="F57" s="226">
        <f t="shared" si="4"/>
        <v>5062.4679581848195</v>
      </c>
      <c r="G57" s="226"/>
      <c r="H57" s="238">
        <f t="shared" si="7"/>
        <v>47208</v>
      </c>
    </row>
    <row r="58" spans="1:8" x14ac:dyDescent="0.3">
      <c r="A58" s="238"/>
      <c r="B58" s="228"/>
      <c r="C58" s="239"/>
      <c r="D58" s="226"/>
      <c r="E58" s="226"/>
      <c r="F58" s="226"/>
      <c r="G58" s="226"/>
    </row>
    <row r="59" spans="1:8" x14ac:dyDescent="0.3">
      <c r="A59" s="238"/>
      <c r="B59" s="228"/>
      <c r="C59" s="239"/>
      <c r="D59" s="226"/>
      <c r="E59" s="226"/>
      <c r="F59" s="226"/>
      <c r="G59" s="226"/>
    </row>
    <row r="60" spans="1:8" x14ac:dyDescent="0.3">
      <c r="A60" s="238"/>
      <c r="B60" s="228"/>
      <c r="C60" s="239"/>
      <c r="D60" s="226"/>
      <c r="E60" s="226"/>
      <c r="F60" s="226"/>
      <c r="G60" s="226"/>
    </row>
    <row r="61" spans="1:8" x14ac:dyDescent="0.3">
      <c r="A61" s="238"/>
      <c r="B61" s="228"/>
      <c r="C61" s="239"/>
      <c r="D61" s="226"/>
      <c r="E61" s="226"/>
      <c r="F61" s="226"/>
      <c r="G61" s="22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1A40-77D9-4CC1-8C19-82D4F22F2101}">
  <sheetPr>
    <tabColor rgb="FF92D050"/>
  </sheetPr>
  <dimension ref="A1:P61"/>
  <sheetViews>
    <sheetView workbookViewId="0">
      <selection activeCell="L30" sqref="L30"/>
    </sheetView>
  </sheetViews>
  <sheetFormatPr defaultColWidth="8.88671875" defaultRowHeight="14.4" x14ac:dyDescent="0.3"/>
  <cols>
    <col min="1" max="1" width="12.44140625" style="218" bestFit="1" customWidth="1"/>
    <col min="2" max="2" width="14.109375" style="218" bestFit="1" customWidth="1"/>
    <col min="3" max="4" width="11" style="218" bestFit="1" customWidth="1"/>
    <col min="5" max="5" width="9" style="218" bestFit="1" customWidth="1"/>
    <col min="6" max="6" width="11.5546875" style="218" bestFit="1" customWidth="1"/>
    <col min="7" max="7" width="16.6640625" style="218" bestFit="1" customWidth="1"/>
    <col min="8" max="8" width="10.6640625" style="218" bestFit="1" customWidth="1"/>
    <col min="9" max="9" width="10.5546875" style="218" bestFit="1" customWidth="1"/>
    <col min="10" max="10" width="12.5546875" style="218" bestFit="1" customWidth="1"/>
    <col min="11" max="11" width="11.109375" style="218" bestFit="1" customWidth="1"/>
    <col min="12" max="12" width="8.88671875" style="218"/>
    <col min="13" max="13" width="17.44140625" style="218" bestFit="1" customWidth="1"/>
    <col min="14" max="14" width="13" style="218" customWidth="1"/>
    <col min="15" max="15" width="10.5546875" style="218" bestFit="1" customWidth="1"/>
    <col min="16" max="16" width="12.109375" style="218" customWidth="1"/>
    <col min="17" max="16384" width="8.88671875" style="218"/>
  </cols>
  <sheetData>
    <row r="1" spans="1:16" x14ac:dyDescent="0.3">
      <c r="A1" s="217">
        <v>79000</v>
      </c>
      <c r="D1" s="219"/>
      <c r="E1" s="219"/>
      <c r="F1" s="219"/>
      <c r="G1" s="219"/>
    </row>
    <row r="2" spans="1:16" x14ac:dyDescent="0.3">
      <c r="A2" s="218">
        <v>48</v>
      </c>
      <c r="B2" s="218" t="s">
        <v>174</v>
      </c>
      <c r="C2" s="220">
        <v>1903</v>
      </c>
      <c r="D2" s="219"/>
      <c r="E2" s="219"/>
      <c r="F2" s="219"/>
      <c r="G2" s="219"/>
    </row>
    <row r="3" spans="1:16" x14ac:dyDescent="0.3">
      <c r="A3" s="221">
        <v>7.2300000000000003E-2</v>
      </c>
      <c r="B3" s="218" t="s">
        <v>175</v>
      </c>
      <c r="C3" s="361" t="s">
        <v>389</v>
      </c>
      <c r="D3" s="219"/>
      <c r="E3" s="219"/>
      <c r="F3" s="219"/>
      <c r="G3" s="219"/>
    </row>
    <row r="4" spans="1:16" x14ac:dyDescent="0.3">
      <c r="A4">
        <f>A3/12</f>
        <v>6.025E-3</v>
      </c>
      <c r="B4" s="218" t="s">
        <v>176</v>
      </c>
      <c r="D4" s="219"/>
      <c r="E4" s="219"/>
      <c r="F4" s="219"/>
      <c r="G4" s="219"/>
    </row>
    <row r="5" spans="1:16" x14ac:dyDescent="0.3">
      <c r="A5" s="223"/>
      <c r="B5" s="223"/>
      <c r="C5" s="219"/>
      <c r="D5" s="219"/>
      <c r="E5" s="219"/>
      <c r="F5" s="219"/>
      <c r="G5" s="219"/>
      <c r="J5" s="12" t="s">
        <v>177</v>
      </c>
      <c r="K5" s="272">
        <f>'TB Match'!B1</f>
        <v>46022</v>
      </c>
      <c r="L5"/>
      <c r="M5" t="s">
        <v>178</v>
      </c>
      <c r="N5" s="11">
        <f>SUMIF(H:H,"&lt;="&amp;DATE(YEAR(K5),MONTH(K5)+12,DAY(K5)),D:D)-SUMIF(H:H,"&lt;"&amp;K5+1,D:D)</f>
        <v>18327.424626816897</v>
      </c>
      <c r="O5" s="226">
        <v>18137.63</v>
      </c>
      <c r="P5" s="226">
        <f>O5-N5</f>
        <v>-189.7946268168962</v>
      </c>
    </row>
    <row r="6" spans="1:16" x14ac:dyDescent="0.3">
      <c r="A6" s="223"/>
      <c r="B6" s="223"/>
      <c r="C6" s="219"/>
      <c r="D6" s="219"/>
      <c r="E6" s="219"/>
      <c r="F6" s="219"/>
      <c r="G6" s="219"/>
      <c r="J6"/>
      <c r="K6"/>
      <c r="L6"/>
      <c r="M6" t="s">
        <v>179</v>
      </c>
      <c r="N6" s="362">
        <f>INDEX(B:F,MATCH(K5,H:H,0),5)-N5</f>
        <v>49058.991844117729</v>
      </c>
      <c r="O6" s="218">
        <v>49248.800000000003</v>
      </c>
      <c r="P6" s="226">
        <f>O6-N6</f>
        <v>189.80815588227415</v>
      </c>
    </row>
    <row r="7" spans="1:16" x14ac:dyDescent="0.3">
      <c r="A7" s="228"/>
      <c r="B7" s="228"/>
      <c r="C7" s="226"/>
      <c r="D7" s="226"/>
      <c r="E7" s="226"/>
      <c r="F7" s="226"/>
      <c r="G7" s="226"/>
      <c r="J7"/>
      <c r="K7"/>
      <c r="L7"/>
      <c r="M7" s="12" t="s">
        <v>7</v>
      </c>
      <c r="N7" s="229">
        <f>N6+N5</f>
        <v>67386.416470934622</v>
      </c>
    </row>
    <row r="8" spans="1:16" x14ac:dyDescent="0.3">
      <c r="A8" s="228"/>
      <c r="B8" s="228"/>
      <c r="C8" s="230" t="s">
        <v>11</v>
      </c>
      <c r="D8" s="230" t="s">
        <v>38</v>
      </c>
      <c r="E8" s="230" t="s">
        <v>12</v>
      </c>
      <c r="F8" s="230" t="s">
        <v>180</v>
      </c>
      <c r="G8" s="230" t="s">
        <v>181</v>
      </c>
      <c r="H8" s="218" t="s">
        <v>8</v>
      </c>
      <c r="J8"/>
      <c r="K8"/>
      <c r="L8"/>
      <c r="M8" s="274" t="s">
        <v>37</v>
      </c>
      <c r="N8" s="232">
        <f>INDEX(B:F,MATCH(K5,H:H,0),5)-N7</f>
        <v>0</v>
      </c>
    </row>
    <row r="9" spans="1:16" x14ac:dyDescent="0.3">
      <c r="A9" s="233">
        <v>45747</v>
      </c>
      <c r="B9" s="234">
        <v>0</v>
      </c>
      <c r="C9" s="235"/>
      <c r="D9" s="236"/>
      <c r="E9" s="236"/>
      <c r="F9" s="236">
        <f>A1-C9</f>
        <v>79000</v>
      </c>
      <c r="G9" s="236"/>
      <c r="H9" s="233">
        <v>45747</v>
      </c>
    </row>
    <row r="10" spans="1:16" x14ac:dyDescent="0.3">
      <c r="A10" s="233">
        <v>45777</v>
      </c>
      <c r="B10" s="234">
        <v>1</v>
      </c>
      <c r="C10" s="237">
        <f>$C$2</f>
        <v>1903</v>
      </c>
      <c r="D10" s="236">
        <f>C10-E10</f>
        <v>1427.0250000000001</v>
      </c>
      <c r="E10" s="236">
        <f>(F9+G9)*(1/12)*$A$3</f>
        <v>475.97500000000002</v>
      </c>
      <c r="F10" s="236">
        <f>F9-D10</f>
        <v>77572.975000000006</v>
      </c>
      <c r="G10" s="236"/>
      <c r="H10" s="233">
        <v>45777</v>
      </c>
    </row>
    <row r="11" spans="1:16" x14ac:dyDescent="0.3">
      <c r="A11" s="233">
        <f t="shared" ref="A11:A57" si="0">EOMONTH(A10,1)</f>
        <v>45808</v>
      </c>
      <c r="B11" s="234">
        <v>2</v>
      </c>
      <c r="C11" s="237">
        <f t="shared" ref="C11:C57" si="1">$C$2</f>
        <v>1903</v>
      </c>
      <c r="D11" s="236">
        <f t="shared" ref="D11:D12" si="2">C11-E11</f>
        <v>1435.6228256249999</v>
      </c>
      <c r="E11" s="236">
        <f t="shared" ref="E11:E57" si="3">(F10+G10)*(1/12)*$A$3</f>
        <v>467.37717437500004</v>
      </c>
      <c r="F11" s="236">
        <f t="shared" ref="F11:F57" si="4">F10-D11</f>
        <v>76137.352174375003</v>
      </c>
      <c r="G11" s="236"/>
      <c r="H11" s="233">
        <f t="shared" ref="H11:H47" si="5">EOMONTH(H10,1)</f>
        <v>45808</v>
      </c>
    </row>
    <row r="12" spans="1:16" x14ac:dyDescent="0.3">
      <c r="A12" s="233">
        <f t="shared" si="0"/>
        <v>45838</v>
      </c>
      <c r="B12" s="234">
        <v>3</v>
      </c>
      <c r="C12" s="237">
        <f t="shared" si="1"/>
        <v>1903</v>
      </c>
      <c r="D12" s="236">
        <f t="shared" si="2"/>
        <v>1444.2724531493905</v>
      </c>
      <c r="E12" s="236">
        <f t="shared" si="3"/>
        <v>458.72754685060943</v>
      </c>
      <c r="F12" s="236">
        <f t="shared" si="4"/>
        <v>74693.079721225615</v>
      </c>
      <c r="G12" s="236"/>
      <c r="H12" s="233">
        <f t="shared" si="5"/>
        <v>45838</v>
      </c>
    </row>
    <row r="13" spans="1:16" x14ac:dyDescent="0.3">
      <c r="A13" s="233">
        <f t="shared" si="0"/>
        <v>45869</v>
      </c>
      <c r="B13" s="234">
        <v>4</v>
      </c>
      <c r="C13" s="237">
        <v>0</v>
      </c>
      <c r="D13" s="236">
        <v>0</v>
      </c>
      <c r="E13" s="236">
        <f t="shared" si="3"/>
        <v>450.02580532038434</v>
      </c>
      <c r="F13" s="236">
        <f t="shared" si="4"/>
        <v>74693.079721225615</v>
      </c>
      <c r="G13" s="236">
        <f>E13</f>
        <v>450.02580532038434</v>
      </c>
      <c r="H13" s="233">
        <f t="shared" si="5"/>
        <v>45869</v>
      </c>
    </row>
    <row r="14" spans="1:16" ht="15.75" customHeight="1" x14ac:dyDescent="0.3">
      <c r="A14" s="233">
        <f t="shared" si="0"/>
        <v>45900</v>
      </c>
      <c r="B14" s="234">
        <v>5</v>
      </c>
      <c r="C14" s="237">
        <f t="shared" si="1"/>
        <v>1903</v>
      </c>
      <c r="D14" s="240">
        <f>C14-E13</f>
        <v>1452.9741946796157</v>
      </c>
      <c r="E14" s="236">
        <f t="shared" si="3"/>
        <v>452.73721079743967</v>
      </c>
      <c r="F14" s="236">
        <f t="shared" si="4"/>
        <v>73240.105526546002</v>
      </c>
      <c r="G14" s="236">
        <f>E14-E13+G13</f>
        <v>452.73721079743967</v>
      </c>
      <c r="H14" s="233">
        <f t="shared" si="5"/>
        <v>45900</v>
      </c>
    </row>
    <row r="15" spans="1:16" x14ac:dyDescent="0.3">
      <c r="A15" s="233">
        <f t="shared" si="0"/>
        <v>45930</v>
      </c>
      <c r="B15" s="234">
        <v>6</v>
      </c>
      <c r="C15" s="237">
        <f t="shared" si="1"/>
        <v>1903</v>
      </c>
      <c r="D15" s="240">
        <f>C15-E14</f>
        <v>1450.2627892025603</v>
      </c>
      <c r="E15" s="236">
        <f t="shared" si="3"/>
        <v>443.9993774924942</v>
      </c>
      <c r="F15" s="236">
        <f t="shared" si="4"/>
        <v>71789.842737343439</v>
      </c>
      <c r="G15" s="236">
        <f>E15-E14+G14</f>
        <v>443.9993774924942</v>
      </c>
      <c r="H15" s="233">
        <f t="shared" si="5"/>
        <v>45930</v>
      </c>
    </row>
    <row r="16" spans="1:16" x14ac:dyDescent="0.3">
      <c r="A16" s="233">
        <f t="shared" si="0"/>
        <v>45961</v>
      </c>
      <c r="B16" s="234">
        <v>7</v>
      </c>
      <c r="C16" s="237">
        <f t="shared" si="1"/>
        <v>1903</v>
      </c>
      <c r="D16" s="240">
        <f t="shared" ref="D16" si="6">C16-E15</f>
        <v>1459.0006225075058</v>
      </c>
      <c r="E16" s="236">
        <f t="shared" si="3"/>
        <v>435.20889874188646</v>
      </c>
      <c r="F16" s="236">
        <f t="shared" si="4"/>
        <v>70330.842114835934</v>
      </c>
      <c r="G16" s="236">
        <f>E16-E15+G15</f>
        <v>435.20889874188646</v>
      </c>
      <c r="H16" s="233">
        <f t="shared" si="5"/>
        <v>45961</v>
      </c>
      <c r="I16" s="220"/>
    </row>
    <row r="17" spans="1:11" x14ac:dyDescent="0.3">
      <c r="A17" s="233">
        <f t="shared" si="0"/>
        <v>45991</v>
      </c>
      <c r="B17" s="234">
        <v>8</v>
      </c>
      <c r="C17" s="237">
        <v>0</v>
      </c>
      <c r="D17" s="240">
        <v>0</v>
      </c>
      <c r="E17" s="236">
        <f t="shared" si="3"/>
        <v>426.36545735680636</v>
      </c>
      <c r="F17" s="236">
        <f t="shared" si="4"/>
        <v>70330.842114835934</v>
      </c>
      <c r="G17" s="236">
        <f>E17-E16+G16</f>
        <v>426.36545735680636</v>
      </c>
      <c r="H17" s="233">
        <f t="shared" si="5"/>
        <v>45991</v>
      </c>
      <c r="I17" s="220" t="s">
        <v>451</v>
      </c>
    </row>
    <row r="18" spans="1:11" x14ac:dyDescent="0.3">
      <c r="A18" s="233">
        <f t="shared" si="0"/>
        <v>46022</v>
      </c>
      <c r="B18" s="234">
        <v>9</v>
      </c>
      <c r="C18" s="237">
        <f>$C$2*2</f>
        <v>3806</v>
      </c>
      <c r="D18" s="240">
        <f>C18-E16-E17</f>
        <v>2944.425643901307</v>
      </c>
      <c r="E18" s="236">
        <f t="shared" si="3"/>
        <v>426.31217562246127</v>
      </c>
      <c r="F18" s="236">
        <f t="shared" si="4"/>
        <v>67386.416470934622</v>
      </c>
      <c r="G18" s="236">
        <f>E18-E17+G17</f>
        <v>426.31217562246127</v>
      </c>
      <c r="H18" s="233">
        <f t="shared" si="5"/>
        <v>46022</v>
      </c>
      <c r="I18" s="220"/>
    </row>
    <row r="19" spans="1:11" x14ac:dyDescent="0.3">
      <c r="A19" s="238">
        <f t="shared" si="0"/>
        <v>46053</v>
      </c>
      <c r="B19" s="228">
        <v>10</v>
      </c>
      <c r="C19" s="239">
        <f t="shared" si="1"/>
        <v>1903</v>
      </c>
      <c r="D19" s="220">
        <f t="shared" ref="D19:D57" si="7">C19-E17</f>
        <v>1476.6345426431935</v>
      </c>
      <c r="E19" s="226">
        <f t="shared" si="3"/>
        <v>408.57169009550643</v>
      </c>
      <c r="F19" s="226">
        <f t="shared" si="4"/>
        <v>65909.781928291428</v>
      </c>
      <c r="G19" s="226"/>
      <c r="H19" s="238">
        <f t="shared" si="5"/>
        <v>46053</v>
      </c>
      <c r="K19" s="220"/>
    </row>
    <row r="20" spans="1:11" x14ac:dyDescent="0.3">
      <c r="A20" s="238">
        <f t="shared" si="0"/>
        <v>46081</v>
      </c>
      <c r="B20" s="228">
        <v>11</v>
      </c>
      <c r="C20" s="239">
        <f t="shared" si="1"/>
        <v>1903</v>
      </c>
      <c r="D20" s="220">
        <f t="shared" si="7"/>
        <v>1476.6878243775386</v>
      </c>
      <c r="E20" s="226">
        <f t="shared" si="3"/>
        <v>397.10643611795581</v>
      </c>
      <c r="F20" s="226">
        <f t="shared" si="4"/>
        <v>64433.094103913892</v>
      </c>
      <c r="G20" s="226"/>
      <c r="H20" s="238">
        <f t="shared" si="5"/>
        <v>46081</v>
      </c>
    </row>
    <row r="21" spans="1:11" x14ac:dyDescent="0.3">
      <c r="A21" s="238">
        <f t="shared" si="0"/>
        <v>46112</v>
      </c>
      <c r="B21" s="228">
        <v>12</v>
      </c>
      <c r="C21" s="239">
        <f t="shared" si="1"/>
        <v>1903</v>
      </c>
      <c r="D21" s="220">
        <f t="shared" si="7"/>
        <v>1494.4283099044935</v>
      </c>
      <c r="E21" s="226">
        <f t="shared" si="3"/>
        <v>388.20939197608124</v>
      </c>
      <c r="F21" s="226">
        <f t="shared" si="4"/>
        <v>62938.665794009401</v>
      </c>
      <c r="G21" s="226"/>
      <c r="H21" s="238">
        <f t="shared" si="5"/>
        <v>46112</v>
      </c>
    </row>
    <row r="22" spans="1:11" x14ac:dyDescent="0.3">
      <c r="A22" s="238">
        <f t="shared" si="0"/>
        <v>46142</v>
      </c>
      <c r="B22" s="228">
        <v>13</v>
      </c>
      <c r="C22" s="239">
        <f t="shared" si="1"/>
        <v>1903</v>
      </c>
      <c r="D22" s="220">
        <f t="shared" si="7"/>
        <v>1505.8935638820442</v>
      </c>
      <c r="E22" s="226">
        <f t="shared" si="3"/>
        <v>379.20546140890661</v>
      </c>
      <c r="F22" s="226">
        <f t="shared" si="4"/>
        <v>61432.772230127353</v>
      </c>
      <c r="G22" s="226"/>
      <c r="H22" s="238">
        <f t="shared" si="5"/>
        <v>46142</v>
      </c>
    </row>
    <row r="23" spans="1:11" x14ac:dyDescent="0.3">
      <c r="A23" s="238">
        <f t="shared" si="0"/>
        <v>46173</v>
      </c>
      <c r="B23" s="228">
        <v>14</v>
      </c>
      <c r="C23" s="239">
        <f t="shared" si="1"/>
        <v>1903</v>
      </c>
      <c r="D23" s="220">
        <f t="shared" si="7"/>
        <v>1514.7906080239188</v>
      </c>
      <c r="E23" s="226">
        <f t="shared" si="3"/>
        <v>370.1324526865173</v>
      </c>
      <c r="F23" s="226">
        <f t="shared" si="4"/>
        <v>59917.981622103434</v>
      </c>
      <c r="G23" s="226"/>
      <c r="H23" s="238">
        <f t="shared" si="5"/>
        <v>46173</v>
      </c>
    </row>
    <row r="24" spans="1:11" x14ac:dyDescent="0.3">
      <c r="A24" s="238">
        <f t="shared" si="0"/>
        <v>46203</v>
      </c>
      <c r="B24" s="228">
        <v>15</v>
      </c>
      <c r="C24" s="239">
        <f t="shared" si="1"/>
        <v>1903</v>
      </c>
      <c r="D24" s="220">
        <f t="shared" si="7"/>
        <v>1523.7945385910934</v>
      </c>
      <c r="E24" s="226">
        <f t="shared" si="3"/>
        <v>361.00583927317319</v>
      </c>
      <c r="F24" s="226">
        <f t="shared" si="4"/>
        <v>58394.187083512341</v>
      </c>
      <c r="G24" s="226"/>
      <c r="H24" s="238">
        <f t="shared" si="5"/>
        <v>46203</v>
      </c>
    </row>
    <row r="25" spans="1:11" x14ac:dyDescent="0.3">
      <c r="A25" s="238">
        <f t="shared" si="0"/>
        <v>46234</v>
      </c>
      <c r="B25" s="228">
        <v>16</v>
      </c>
      <c r="C25" s="239">
        <f t="shared" si="1"/>
        <v>1903</v>
      </c>
      <c r="D25" s="220">
        <f t="shared" si="7"/>
        <v>1532.8675473134826</v>
      </c>
      <c r="E25" s="226">
        <f t="shared" si="3"/>
        <v>351.82497717816187</v>
      </c>
      <c r="F25" s="226">
        <f t="shared" si="4"/>
        <v>56861.319536198862</v>
      </c>
      <c r="G25" s="226"/>
      <c r="H25" s="238">
        <f t="shared" si="5"/>
        <v>46234</v>
      </c>
    </row>
    <row r="26" spans="1:11" x14ac:dyDescent="0.3">
      <c r="A26" s="238">
        <f t="shared" si="0"/>
        <v>46265</v>
      </c>
      <c r="B26" s="228">
        <v>17</v>
      </c>
      <c r="C26" s="239">
        <f t="shared" si="1"/>
        <v>1903</v>
      </c>
      <c r="D26" s="220">
        <f t="shared" si="7"/>
        <v>1541.9941607268267</v>
      </c>
      <c r="E26" s="226">
        <f t="shared" si="3"/>
        <v>342.58945020559815</v>
      </c>
      <c r="F26" s="226">
        <f t="shared" si="4"/>
        <v>55319.325375472035</v>
      </c>
      <c r="G26" s="226"/>
      <c r="H26" s="238">
        <f t="shared" si="5"/>
        <v>46265</v>
      </c>
    </row>
    <row r="27" spans="1:11" x14ac:dyDescent="0.3">
      <c r="A27" s="238">
        <f t="shared" si="0"/>
        <v>46295</v>
      </c>
      <c r="B27" s="228">
        <v>18</v>
      </c>
      <c r="C27" s="239">
        <f t="shared" si="1"/>
        <v>1903</v>
      </c>
      <c r="D27" s="220">
        <f t="shared" si="7"/>
        <v>1551.1750228218382</v>
      </c>
      <c r="E27" s="226">
        <f t="shared" si="3"/>
        <v>333.29893538721899</v>
      </c>
      <c r="F27" s="226">
        <f t="shared" si="4"/>
        <v>53768.150352650198</v>
      </c>
      <c r="G27" s="226"/>
      <c r="H27" s="238">
        <f t="shared" si="5"/>
        <v>46295</v>
      </c>
    </row>
    <row r="28" spans="1:11" x14ac:dyDescent="0.3">
      <c r="A28" s="238">
        <f t="shared" si="0"/>
        <v>46326</v>
      </c>
      <c r="B28" s="228">
        <v>19</v>
      </c>
      <c r="C28" s="239">
        <f t="shared" si="1"/>
        <v>1903</v>
      </c>
      <c r="D28" s="220">
        <f t="shared" si="7"/>
        <v>1560.410549794402</v>
      </c>
      <c r="E28" s="226">
        <f t="shared" si="3"/>
        <v>323.95310587471744</v>
      </c>
      <c r="F28" s="226">
        <f t="shared" si="4"/>
        <v>52207.739802855795</v>
      </c>
      <c r="G28" s="226"/>
      <c r="H28" s="238">
        <f t="shared" si="5"/>
        <v>46326</v>
      </c>
    </row>
    <row r="29" spans="1:11" x14ac:dyDescent="0.3">
      <c r="A29" s="238">
        <f t="shared" si="0"/>
        <v>46356</v>
      </c>
      <c r="B29" s="228">
        <v>20</v>
      </c>
      <c r="C29" s="239">
        <f t="shared" si="1"/>
        <v>1903</v>
      </c>
      <c r="D29" s="220">
        <f t="shared" si="7"/>
        <v>1569.701064612781</v>
      </c>
      <c r="E29" s="226">
        <f t="shared" si="3"/>
        <v>314.55163231220615</v>
      </c>
      <c r="F29" s="226">
        <f t="shared" si="4"/>
        <v>50638.038738243013</v>
      </c>
      <c r="G29" s="226"/>
      <c r="H29" s="238">
        <f t="shared" si="5"/>
        <v>46356</v>
      </c>
    </row>
    <row r="30" spans="1:11" x14ac:dyDescent="0.3">
      <c r="A30" s="238">
        <f t="shared" si="0"/>
        <v>46387</v>
      </c>
      <c r="B30" s="228">
        <v>21</v>
      </c>
      <c r="C30" s="239">
        <f t="shared" si="1"/>
        <v>1903</v>
      </c>
      <c r="D30" s="220">
        <f t="shared" si="7"/>
        <v>1579.0468941252825</v>
      </c>
      <c r="E30" s="226">
        <f t="shared" si="3"/>
        <v>305.09418339791415</v>
      </c>
      <c r="F30" s="226">
        <f t="shared" si="4"/>
        <v>49058.991844117729</v>
      </c>
      <c r="G30" s="226"/>
      <c r="H30" s="238">
        <f t="shared" si="5"/>
        <v>46387</v>
      </c>
    </row>
    <row r="31" spans="1:11" x14ac:dyDescent="0.3">
      <c r="A31" s="238">
        <f t="shared" si="0"/>
        <v>46418</v>
      </c>
      <c r="B31" s="228">
        <v>22</v>
      </c>
      <c r="C31" s="239">
        <f t="shared" si="1"/>
        <v>1903</v>
      </c>
      <c r="D31" s="220">
        <f t="shared" si="7"/>
        <v>1588.448367687794</v>
      </c>
      <c r="E31" s="226">
        <f t="shared" si="3"/>
        <v>295.58042586080933</v>
      </c>
      <c r="F31" s="226">
        <f t="shared" si="4"/>
        <v>47470.543476429935</v>
      </c>
      <c r="G31" s="226"/>
      <c r="H31" s="238">
        <f t="shared" si="5"/>
        <v>46418</v>
      </c>
    </row>
    <row r="32" spans="1:11" x14ac:dyDescent="0.3">
      <c r="A32" s="238">
        <f t="shared" si="0"/>
        <v>46446</v>
      </c>
      <c r="B32" s="228">
        <v>23</v>
      </c>
      <c r="C32" s="239">
        <f t="shared" si="1"/>
        <v>1903</v>
      </c>
      <c r="D32" s="220">
        <f t="shared" si="7"/>
        <v>1597.9058166020859</v>
      </c>
      <c r="E32" s="226">
        <f t="shared" si="3"/>
        <v>286.01002444549039</v>
      </c>
      <c r="F32" s="226">
        <f t="shared" si="4"/>
        <v>45872.637659827851</v>
      </c>
      <c r="G32" s="226"/>
      <c r="H32" s="238">
        <f t="shared" si="5"/>
        <v>46446</v>
      </c>
    </row>
    <row r="33" spans="1:8" x14ac:dyDescent="0.3">
      <c r="A33" s="238">
        <f t="shared" si="0"/>
        <v>46477</v>
      </c>
      <c r="B33" s="228">
        <v>24</v>
      </c>
      <c r="C33" s="239">
        <f t="shared" si="1"/>
        <v>1903</v>
      </c>
      <c r="D33" s="220">
        <f t="shared" si="7"/>
        <v>1607.4195741391907</v>
      </c>
      <c r="E33" s="226">
        <f t="shared" si="3"/>
        <v>276.38264190046283</v>
      </c>
      <c r="F33" s="226">
        <f t="shared" si="4"/>
        <v>44265.218085688663</v>
      </c>
      <c r="G33" s="226"/>
      <c r="H33" s="238">
        <f t="shared" si="5"/>
        <v>46477</v>
      </c>
    </row>
    <row r="34" spans="1:8" x14ac:dyDescent="0.3">
      <c r="A34" s="238">
        <f t="shared" si="0"/>
        <v>46507</v>
      </c>
      <c r="B34" s="228">
        <v>25</v>
      </c>
      <c r="C34" s="239">
        <f t="shared" si="1"/>
        <v>1903</v>
      </c>
      <c r="D34" s="220">
        <f t="shared" si="7"/>
        <v>1616.9899755545096</v>
      </c>
      <c r="E34" s="226">
        <f t="shared" si="3"/>
        <v>266.69793896627419</v>
      </c>
      <c r="F34" s="226">
        <f t="shared" si="4"/>
        <v>42648.22811013415</v>
      </c>
      <c r="G34" s="226"/>
      <c r="H34" s="238">
        <f t="shared" si="5"/>
        <v>46507</v>
      </c>
    </row>
    <row r="35" spans="1:8" x14ac:dyDescent="0.3">
      <c r="A35" s="238">
        <f t="shared" si="0"/>
        <v>46538</v>
      </c>
      <c r="B35" s="228">
        <v>26</v>
      </c>
      <c r="C35" s="239">
        <f t="shared" si="1"/>
        <v>1903</v>
      </c>
      <c r="D35" s="220">
        <f t="shared" si="7"/>
        <v>1626.6173580995371</v>
      </c>
      <c r="E35" s="226">
        <f t="shared" si="3"/>
        <v>256.95557436355824</v>
      </c>
      <c r="F35" s="226">
        <f t="shared" si="4"/>
        <v>41021.610752034612</v>
      </c>
      <c r="G35" s="226"/>
      <c r="H35" s="238">
        <f t="shared" si="5"/>
        <v>46538</v>
      </c>
    </row>
    <row r="36" spans="1:8" x14ac:dyDescent="0.3">
      <c r="A36" s="238">
        <f t="shared" si="0"/>
        <v>46568</v>
      </c>
      <c r="B36" s="228">
        <v>27</v>
      </c>
      <c r="C36" s="239">
        <f t="shared" si="1"/>
        <v>1903</v>
      </c>
      <c r="D36" s="220">
        <f t="shared" si="7"/>
        <v>1636.3020610337257</v>
      </c>
      <c r="E36" s="226">
        <f t="shared" si="3"/>
        <v>247.15520478100854</v>
      </c>
      <c r="F36" s="226">
        <f t="shared" si="4"/>
        <v>39385.308691000886</v>
      </c>
      <c r="G36" s="226"/>
      <c r="H36" s="238">
        <f t="shared" si="5"/>
        <v>46568</v>
      </c>
    </row>
    <row r="37" spans="1:8" x14ac:dyDescent="0.3">
      <c r="A37" s="238">
        <f t="shared" si="0"/>
        <v>46599</v>
      </c>
      <c r="B37" s="228">
        <v>28</v>
      </c>
      <c r="C37" s="239">
        <f t="shared" si="1"/>
        <v>1903</v>
      </c>
      <c r="D37" s="220">
        <f t="shared" si="7"/>
        <v>1646.0444256364417</v>
      </c>
      <c r="E37" s="226">
        <f t="shared" si="3"/>
        <v>237.29648486328034</v>
      </c>
      <c r="F37" s="226">
        <f t="shared" si="4"/>
        <v>37739.264265364443</v>
      </c>
      <c r="G37" s="226"/>
      <c r="H37" s="238">
        <f t="shared" si="5"/>
        <v>46599</v>
      </c>
    </row>
    <row r="38" spans="1:8" x14ac:dyDescent="0.3">
      <c r="A38" s="238">
        <f t="shared" si="0"/>
        <v>46630</v>
      </c>
      <c r="B38" s="228">
        <v>29</v>
      </c>
      <c r="C38" s="239">
        <f t="shared" si="1"/>
        <v>1903</v>
      </c>
      <c r="D38" s="220">
        <f t="shared" si="7"/>
        <v>1655.8447952189915</v>
      </c>
      <c r="E38" s="226">
        <f t="shared" si="3"/>
        <v>227.37906719882079</v>
      </c>
      <c r="F38" s="226">
        <f t="shared" si="4"/>
        <v>36083.419470145454</v>
      </c>
      <c r="G38" s="226"/>
      <c r="H38" s="238">
        <f t="shared" si="5"/>
        <v>46630</v>
      </c>
    </row>
    <row r="39" spans="1:8" x14ac:dyDescent="0.3">
      <c r="A39" s="238">
        <f t="shared" si="0"/>
        <v>46660</v>
      </c>
      <c r="B39" s="228">
        <v>30</v>
      </c>
      <c r="C39" s="239">
        <f t="shared" si="1"/>
        <v>1903</v>
      </c>
      <c r="D39" s="220">
        <f t="shared" si="7"/>
        <v>1665.7035151367197</v>
      </c>
      <c r="E39" s="226">
        <f t="shared" si="3"/>
        <v>217.40260230762635</v>
      </c>
      <c r="F39" s="226">
        <f t="shared" si="4"/>
        <v>34417.715955008738</v>
      </c>
      <c r="G39" s="226"/>
      <c r="H39" s="238">
        <f t="shared" si="5"/>
        <v>46660</v>
      </c>
    </row>
    <row r="40" spans="1:8" x14ac:dyDescent="0.3">
      <c r="A40" s="238">
        <f t="shared" si="0"/>
        <v>46691</v>
      </c>
      <c r="B40" s="228">
        <v>31</v>
      </c>
      <c r="C40" s="239">
        <f t="shared" si="1"/>
        <v>1903</v>
      </c>
      <c r="D40" s="220">
        <f t="shared" si="7"/>
        <v>1675.6209328011792</v>
      </c>
      <c r="E40" s="226">
        <f t="shared" si="3"/>
        <v>207.36673862892766</v>
      </c>
      <c r="F40" s="226">
        <f t="shared" si="4"/>
        <v>32742.095022207559</v>
      </c>
      <c r="G40" s="226"/>
      <c r="H40" s="238">
        <f t="shared" si="5"/>
        <v>46691</v>
      </c>
    </row>
    <row r="41" spans="1:8" x14ac:dyDescent="0.3">
      <c r="A41" s="238">
        <f t="shared" si="0"/>
        <v>46721</v>
      </c>
      <c r="B41" s="228">
        <v>32</v>
      </c>
      <c r="C41" s="239">
        <f t="shared" si="1"/>
        <v>1903</v>
      </c>
      <c r="D41" s="220">
        <f t="shared" si="7"/>
        <v>1685.5973976923738</v>
      </c>
      <c r="E41" s="226">
        <f t="shared" si="3"/>
        <v>197.27112250880052</v>
      </c>
      <c r="F41" s="226">
        <f t="shared" si="4"/>
        <v>31056.497624515185</v>
      </c>
      <c r="G41" s="226"/>
      <c r="H41" s="238">
        <f t="shared" si="5"/>
        <v>46721</v>
      </c>
    </row>
    <row r="42" spans="1:8" x14ac:dyDescent="0.3">
      <c r="A42" s="238">
        <f t="shared" si="0"/>
        <v>46752</v>
      </c>
      <c r="B42" s="228">
        <v>33</v>
      </c>
      <c r="C42" s="239">
        <f t="shared" si="1"/>
        <v>1903</v>
      </c>
      <c r="D42" s="220">
        <f t="shared" si="7"/>
        <v>1695.6332613710724</v>
      </c>
      <c r="E42" s="226">
        <f t="shared" si="3"/>
        <v>187.11539818770399</v>
      </c>
      <c r="F42" s="226">
        <f t="shared" si="4"/>
        <v>29360.864363144112</v>
      </c>
      <c r="G42" s="226"/>
      <c r="H42" s="238">
        <f t="shared" si="5"/>
        <v>46752</v>
      </c>
    </row>
    <row r="43" spans="1:8" x14ac:dyDescent="0.3">
      <c r="A43" s="238">
        <f t="shared" si="0"/>
        <v>46783</v>
      </c>
      <c r="B43" s="228">
        <v>34</v>
      </c>
      <c r="C43" s="239">
        <f t="shared" si="1"/>
        <v>1903</v>
      </c>
      <c r="D43" s="220">
        <f t="shared" si="7"/>
        <v>1705.7288774911995</v>
      </c>
      <c r="E43" s="226">
        <f t="shared" si="3"/>
        <v>176.89920778794328</v>
      </c>
      <c r="F43" s="226">
        <f t="shared" si="4"/>
        <v>27655.135485652914</v>
      </c>
      <c r="G43" s="226"/>
      <c r="H43" s="238">
        <f t="shared" si="5"/>
        <v>46783</v>
      </c>
    </row>
    <row r="44" spans="1:8" x14ac:dyDescent="0.3">
      <c r="A44" s="238">
        <f t="shared" si="0"/>
        <v>46812</v>
      </c>
      <c r="B44" s="228">
        <v>35</v>
      </c>
      <c r="C44" s="239">
        <f t="shared" si="1"/>
        <v>1903</v>
      </c>
      <c r="D44" s="220">
        <f t="shared" si="7"/>
        <v>1715.8846018122961</v>
      </c>
      <c r="E44" s="226">
        <f t="shared" si="3"/>
        <v>166.62219130105879</v>
      </c>
      <c r="F44" s="226">
        <f t="shared" si="4"/>
        <v>25939.250883840617</v>
      </c>
      <c r="G44" s="226"/>
      <c r="H44" s="238">
        <f t="shared" si="5"/>
        <v>46812</v>
      </c>
    </row>
    <row r="45" spans="1:8" x14ac:dyDescent="0.3">
      <c r="A45" s="238">
        <f t="shared" si="0"/>
        <v>46843</v>
      </c>
      <c r="B45" s="228">
        <v>36</v>
      </c>
      <c r="C45" s="239">
        <f t="shared" si="1"/>
        <v>1903</v>
      </c>
      <c r="D45" s="220">
        <f t="shared" si="7"/>
        <v>1726.1007922120566</v>
      </c>
      <c r="E45" s="226">
        <f t="shared" si="3"/>
        <v>156.28398657513972</v>
      </c>
      <c r="F45" s="226">
        <f t="shared" si="4"/>
        <v>24213.150091628562</v>
      </c>
      <c r="G45" s="226"/>
      <c r="H45" s="238">
        <f t="shared" si="5"/>
        <v>46843</v>
      </c>
    </row>
    <row r="46" spans="1:8" x14ac:dyDescent="0.3">
      <c r="A46" s="238">
        <f t="shared" si="0"/>
        <v>46873</v>
      </c>
      <c r="B46" s="228">
        <v>37</v>
      </c>
      <c r="C46" s="239">
        <f t="shared" si="1"/>
        <v>1903</v>
      </c>
      <c r="D46" s="220">
        <f t="shared" si="7"/>
        <v>1736.3778086989412</v>
      </c>
      <c r="E46" s="226">
        <f t="shared" si="3"/>
        <v>145.8842293020621</v>
      </c>
      <c r="F46" s="226">
        <f t="shared" si="4"/>
        <v>22476.772282929622</v>
      </c>
      <c r="G46" s="226"/>
      <c r="H46" s="238">
        <f t="shared" si="5"/>
        <v>46873</v>
      </c>
    </row>
    <row r="47" spans="1:8" x14ac:dyDescent="0.3">
      <c r="A47" s="238">
        <f t="shared" si="0"/>
        <v>46904</v>
      </c>
      <c r="B47" s="228">
        <v>38</v>
      </c>
      <c r="C47" s="239">
        <f t="shared" si="1"/>
        <v>1903</v>
      </c>
      <c r="D47" s="220">
        <f t="shared" si="7"/>
        <v>1746.7160134248602</v>
      </c>
      <c r="E47" s="226">
        <f t="shared" si="3"/>
        <v>135.42255300465098</v>
      </c>
      <c r="F47" s="226">
        <f t="shared" si="4"/>
        <v>20730.056269504763</v>
      </c>
      <c r="G47" s="226"/>
      <c r="H47" s="238">
        <f t="shared" si="5"/>
        <v>46904</v>
      </c>
    </row>
    <row r="48" spans="1:8" x14ac:dyDescent="0.3">
      <c r="A48" s="238">
        <f t="shared" si="0"/>
        <v>46934</v>
      </c>
      <c r="B48" s="228">
        <v>39</v>
      </c>
      <c r="C48" s="239">
        <f t="shared" si="1"/>
        <v>1903</v>
      </c>
      <c r="D48" s="220">
        <f t="shared" si="7"/>
        <v>1757.1157706979379</v>
      </c>
      <c r="E48" s="226">
        <f t="shared" si="3"/>
        <v>124.89858902376621</v>
      </c>
      <c r="F48" s="226">
        <f t="shared" si="4"/>
        <v>18972.940498806824</v>
      </c>
      <c r="G48" s="226"/>
      <c r="H48" s="238">
        <f>EOMONTH(H47,1)</f>
        <v>46934</v>
      </c>
    </row>
    <row r="49" spans="1:8" x14ac:dyDescent="0.3">
      <c r="A49" s="238">
        <f t="shared" si="0"/>
        <v>46965</v>
      </c>
      <c r="B49" s="228">
        <v>40</v>
      </c>
      <c r="C49" s="239">
        <f t="shared" si="1"/>
        <v>1903</v>
      </c>
      <c r="D49" s="220">
        <f t="shared" si="7"/>
        <v>1767.577446995349</v>
      </c>
      <c r="E49" s="226">
        <f t="shared" si="3"/>
        <v>114.31196650531112</v>
      </c>
      <c r="F49" s="226">
        <f t="shared" si="4"/>
        <v>17205.363051811473</v>
      </c>
      <c r="G49" s="226"/>
      <c r="H49" s="238">
        <f>EOMONTH(H48,1)</f>
        <v>46965</v>
      </c>
    </row>
    <row r="50" spans="1:8" x14ac:dyDescent="0.3">
      <c r="A50" s="238">
        <f t="shared" si="0"/>
        <v>46996</v>
      </c>
      <c r="B50" s="228">
        <v>41</v>
      </c>
      <c r="C50" s="239">
        <f t="shared" si="1"/>
        <v>1903</v>
      </c>
      <c r="D50" s="220">
        <f t="shared" si="7"/>
        <v>1778.1014109762339</v>
      </c>
      <c r="E50" s="226">
        <f t="shared" si="3"/>
        <v>103.66231238716412</v>
      </c>
      <c r="F50" s="226">
        <f t="shared" si="4"/>
        <v>15427.261640835239</v>
      </c>
      <c r="G50" s="226"/>
      <c r="H50" s="238">
        <f>EOMONTH(H49,1)</f>
        <v>46996</v>
      </c>
    </row>
    <row r="51" spans="1:8" x14ac:dyDescent="0.3">
      <c r="A51" s="238">
        <f t="shared" si="0"/>
        <v>47026</v>
      </c>
      <c r="B51" s="228">
        <v>42</v>
      </c>
      <c r="C51" s="239">
        <f t="shared" si="1"/>
        <v>1903</v>
      </c>
      <c r="D51" s="220">
        <f t="shared" si="7"/>
        <v>1788.6880334946889</v>
      </c>
      <c r="E51" s="226">
        <f t="shared" si="3"/>
        <v>92.949251386032302</v>
      </c>
      <c r="F51" s="226">
        <f t="shared" si="4"/>
        <v>13638.57360734055</v>
      </c>
      <c r="G51" s="226"/>
      <c r="H51" s="238">
        <f t="shared" ref="H51:H57" si="8">EOMONTH(H50,1)</f>
        <v>47026</v>
      </c>
    </row>
    <row r="52" spans="1:8" x14ac:dyDescent="0.3">
      <c r="A52" s="238">
        <f t="shared" si="0"/>
        <v>47057</v>
      </c>
      <c r="B52" s="228">
        <v>43</v>
      </c>
      <c r="C52" s="239">
        <f t="shared" si="1"/>
        <v>1903</v>
      </c>
      <c r="D52" s="220">
        <f t="shared" si="7"/>
        <v>1799.3376876128359</v>
      </c>
      <c r="E52" s="226">
        <f t="shared" si="3"/>
        <v>82.172405984226799</v>
      </c>
      <c r="F52" s="226">
        <f t="shared" si="4"/>
        <v>11839.235919727715</v>
      </c>
      <c r="G52" s="226"/>
      <c r="H52" s="238">
        <f t="shared" si="8"/>
        <v>47057</v>
      </c>
    </row>
    <row r="53" spans="1:8" x14ac:dyDescent="0.3">
      <c r="A53" s="238">
        <f t="shared" si="0"/>
        <v>47087</v>
      </c>
      <c r="B53" s="228">
        <v>44</v>
      </c>
      <c r="C53" s="239">
        <f t="shared" si="1"/>
        <v>1903</v>
      </c>
      <c r="D53" s="220">
        <f t="shared" si="7"/>
        <v>1810.0507486139677</v>
      </c>
      <c r="E53" s="226">
        <f t="shared" si="3"/>
        <v>71.331396416359482</v>
      </c>
      <c r="F53" s="226">
        <f t="shared" si="4"/>
        <v>10029.185171113746</v>
      </c>
      <c r="G53" s="226"/>
      <c r="H53" s="238">
        <f t="shared" si="8"/>
        <v>47087</v>
      </c>
    </row>
    <row r="54" spans="1:8" x14ac:dyDescent="0.3">
      <c r="A54" s="238">
        <f t="shared" si="0"/>
        <v>47118</v>
      </c>
      <c r="B54" s="228">
        <v>45</v>
      </c>
      <c r="C54" s="239">
        <f t="shared" si="1"/>
        <v>1903</v>
      </c>
      <c r="D54" s="220">
        <f t="shared" si="7"/>
        <v>1820.8275940157732</v>
      </c>
      <c r="E54" s="226">
        <f t="shared" si="3"/>
        <v>60.425840655960315</v>
      </c>
      <c r="F54" s="226">
        <f t="shared" si="4"/>
        <v>8208.3575770979733</v>
      </c>
      <c r="G54" s="226"/>
      <c r="H54" s="238">
        <f t="shared" si="8"/>
        <v>47118</v>
      </c>
    </row>
    <row r="55" spans="1:8" x14ac:dyDescent="0.3">
      <c r="A55" s="238">
        <f t="shared" si="0"/>
        <v>47149</v>
      </c>
      <c r="B55" s="228">
        <v>46</v>
      </c>
      <c r="C55" s="239">
        <f t="shared" si="1"/>
        <v>1903</v>
      </c>
      <c r="D55" s="220">
        <f t="shared" si="7"/>
        <v>1831.6686035836406</v>
      </c>
      <c r="E55" s="226">
        <f t="shared" si="3"/>
        <v>49.455354402015288</v>
      </c>
      <c r="F55" s="226">
        <f t="shared" si="4"/>
        <v>6376.6889735143322</v>
      </c>
      <c r="G55" s="226"/>
      <c r="H55" s="238">
        <f t="shared" si="8"/>
        <v>47149</v>
      </c>
    </row>
    <row r="56" spans="1:8" x14ac:dyDescent="0.3">
      <c r="A56" s="238">
        <f t="shared" si="0"/>
        <v>47177</v>
      </c>
      <c r="B56" s="228">
        <v>47</v>
      </c>
      <c r="C56" s="239">
        <f t="shared" si="1"/>
        <v>1903</v>
      </c>
      <c r="D56" s="220">
        <f t="shared" si="7"/>
        <v>1842.5741593440398</v>
      </c>
      <c r="E56" s="226">
        <f t="shared" si="3"/>
        <v>38.419551065423853</v>
      </c>
      <c r="F56" s="226">
        <f t="shared" si="4"/>
        <v>4534.1148141702924</v>
      </c>
      <c r="G56" s="226"/>
      <c r="H56" s="238">
        <f t="shared" si="8"/>
        <v>47177</v>
      </c>
    </row>
    <row r="57" spans="1:8" x14ac:dyDescent="0.3">
      <c r="A57" s="238">
        <f t="shared" si="0"/>
        <v>47208</v>
      </c>
      <c r="B57" s="228">
        <v>48</v>
      </c>
      <c r="C57" s="239">
        <f t="shared" si="1"/>
        <v>1903</v>
      </c>
      <c r="D57" s="220">
        <f t="shared" si="7"/>
        <v>1853.5446455979848</v>
      </c>
      <c r="E57" s="226">
        <f t="shared" si="3"/>
        <v>27.318041755376012</v>
      </c>
      <c r="F57" s="226">
        <f t="shared" si="4"/>
        <v>2680.5701685723079</v>
      </c>
      <c r="G57" s="226"/>
      <c r="H57" s="238">
        <f t="shared" si="8"/>
        <v>47208</v>
      </c>
    </row>
    <row r="58" spans="1:8" x14ac:dyDescent="0.3">
      <c r="A58" s="238"/>
      <c r="B58" s="228"/>
      <c r="C58" s="239"/>
      <c r="D58" s="226"/>
      <c r="E58" s="226"/>
      <c r="F58" s="226"/>
      <c r="G58" s="226"/>
    </row>
    <row r="59" spans="1:8" x14ac:dyDescent="0.3">
      <c r="A59" s="238"/>
      <c r="B59" s="228"/>
      <c r="C59" s="239"/>
      <c r="D59" s="226"/>
      <c r="E59" s="226"/>
      <c r="F59" s="226"/>
      <c r="G59" s="226"/>
    </row>
    <row r="60" spans="1:8" x14ac:dyDescent="0.3">
      <c r="A60" s="238"/>
      <c r="B60" s="228"/>
      <c r="C60" s="239"/>
      <c r="D60" s="226"/>
      <c r="E60" s="226"/>
      <c r="F60" s="226"/>
      <c r="G60" s="226"/>
    </row>
    <row r="61" spans="1:8" x14ac:dyDescent="0.3">
      <c r="A61" s="238"/>
      <c r="B61" s="228"/>
      <c r="C61" s="239"/>
      <c r="D61" s="226"/>
      <c r="E61" s="226"/>
      <c r="F61" s="226"/>
      <c r="G61" s="2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dea2e7-88d5-49aa-8791-c81f836369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647651735D8E4CB7B74B034E66604B" ma:contentTypeVersion="11" ma:contentTypeDescription="Create a new document." ma:contentTypeScope="" ma:versionID="15d7e167a008f892a01b9c5b4f1f6def">
  <xsd:schema xmlns:xsd="http://www.w3.org/2001/XMLSchema" xmlns:xs="http://www.w3.org/2001/XMLSchema" xmlns:p="http://schemas.microsoft.com/office/2006/metadata/properties" xmlns:ns3="f0cbb41e-8fd9-45d6-8bb6-590a72ecc423" xmlns:ns4="00dea2e7-88d5-49aa-8791-c81f836369cf" targetNamespace="http://schemas.microsoft.com/office/2006/metadata/properties" ma:root="true" ma:fieldsID="33ab86c6f9b15c6da3e4ed066f0710d1" ns3:_="" ns4:_="">
    <xsd:import namespace="f0cbb41e-8fd9-45d6-8bb6-590a72ecc423"/>
    <xsd:import namespace="00dea2e7-88d5-49aa-8791-c81f836369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bb41e-8fd9-45d6-8bb6-590a72ecc4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ea2e7-88d5-49aa-8791-c81f83636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9626D-8A47-42DB-BEE9-77FCC1600B56}">
  <ds:schemaRefs>
    <ds:schemaRef ds:uri="f0cbb41e-8fd9-45d6-8bb6-590a72ecc423"/>
    <ds:schemaRef ds:uri="00dea2e7-88d5-49aa-8791-c81f836369cf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0C8F6A3-EA63-47AB-9E9A-FF8A9D8B5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CF545F-D54A-4021-B134-F3A3AD5AC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cbb41e-8fd9-45d6-8bb6-590a72ecc423"/>
    <ds:schemaRef ds:uri="00dea2e7-88d5-49aa-8791-c81f836369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</vt:i4>
      </vt:variant>
    </vt:vector>
  </HeadingPairs>
  <TitlesOfParts>
    <vt:vector size="30" baseType="lpstr">
      <vt:lpstr>Docket</vt:lpstr>
      <vt:lpstr>Notes</vt:lpstr>
      <vt:lpstr>Access List</vt:lpstr>
      <vt:lpstr>Contact List</vt:lpstr>
      <vt:lpstr>TB Match</vt:lpstr>
      <vt:lpstr>10000 - BofA CHK 1020</vt:lpstr>
      <vt:lpstr>11000 Accounts Receivable</vt:lpstr>
      <vt:lpstr>11600 - Prepaid Expenses</vt:lpstr>
      <vt:lpstr>11600 - Prepaid Expenses (OLD)</vt:lpstr>
      <vt:lpstr>15500-Acc Depreciation</vt:lpstr>
      <vt:lpstr>17000 - Goodwill</vt:lpstr>
      <vt:lpstr>21000 - Accrued Expenses</vt:lpstr>
      <vt:lpstr>Sheet1</vt:lpstr>
      <vt:lpstr>Sales commission detail</vt:lpstr>
      <vt:lpstr>21050 - Accrued Interest</vt:lpstr>
      <vt:lpstr>21100 - Accrued Payroll</vt:lpstr>
      <vt:lpstr>21125 - Unearned Revenue</vt:lpstr>
      <vt:lpstr>21300 - Due to.from Socal</vt:lpstr>
      <vt:lpstr>Loan pmt Breakdown</vt:lpstr>
      <vt:lpstr>21350 - Insurance Payable</vt:lpstr>
      <vt:lpstr>23500 - Insurance Payable</vt:lpstr>
      <vt:lpstr>22000 &amp; 23000 - Axopar Suntop37</vt:lpstr>
      <vt:lpstr>22050 &amp; 23050 - Beneteau</vt:lpstr>
      <vt:lpstr>22300 &amp; 23300 - Axopar T-TOP28</vt:lpstr>
      <vt:lpstr>22100 &amp; 23100 -Manitou (Stacey)</vt:lpstr>
      <vt:lpstr>22150 &amp; 23150 - Scott Tiernan</vt:lpstr>
      <vt:lpstr>22250 &amp; 23250 - NX 340</vt:lpstr>
      <vt:lpstr>23350 - CCJ True Loan</vt:lpstr>
      <vt:lpstr>23400 - CCJ True Loan (2)</vt:lpstr>
      <vt:lpstr>Notes!Print_Area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Tu</dc:creator>
  <cp:lastModifiedBy>Nikko Bautista</cp:lastModifiedBy>
  <cp:lastPrinted>2019-12-12T20:57:22Z</cp:lastPrinted>
  <dcterms:created xsi:type="dcterms:W3CDTF">2019-09-26T20:07:48Z</dcterms:created>
  <dcterms:modified xsi:type="dcterms:W3CDTF">2026-02-12T00:22:04Z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0x0101009C647651735D8E4CB7B74B034E66604B</vt:lpwstr>
  </property>
</Properties>
</file>