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45" activeTab="53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  <sheet name="LK.49" sheetId="55" r:id="rId49"/>
    <sheet name="LK.50" sheetId="56" r:id="rId50"/>
    <sheet name="LK.51" sheetId="57" r:id="rId51"/>
    <sheet name="LK.52" sheetId="58" r:id="rId52"/>
    <sheet name="LK.53" sheetId="59" r:id="rId53"/>
    <sheet name="LK.54" sheetId="60" r:id="rId54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  <definedName name="_xlnm.Print_Area" localSheetId="48">LK.49!$B$3:$H$57</definedName>
    <definedName name="_xlnm.Print_Area" localSheetId="49">LK.50!$B$3:$H$57</definedName>
    <definedName name="_xlnm.Print_Area" localSheetId="50">LK.51!$B$3:$H$57</definedName>
    <definedName name="_xlnm.Print_Area" localSheetId="51">LK.52!$B$3:$H$41</definedName>
    <definedName name="_xlnm.Print_Area" localSheetId="52">LK.53!$B$3:$H$41</definedName>
    <definedName name="_xlnm.Print_Area" localSheetId="53">LK.54!$B$3:$H$41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F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F4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>
  <authors>
    <author>user</author>
  </authors>
  <commentList>
    <comment ref="G4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>
  <authors>
    <author>user</author>
  </authors>
  <commentList>
    <comment ref="G4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>
  <authors>
    <author>user</author>
  </authors>
  <commentList>
    <comment ref="G5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>
  <authors>
    <author>user</author>
  </authors>
  <commentList>
    <comment ref="G5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>
  <authors>
    <author>user</author>
  </authors>
  <commentList>
    <comment ref="G49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>
  <authors>
    <author>user</author>
  </authors>
  <commentList>
    <comment ref="G5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>
  <authors>
    <author>user</author>
  </authors>
  <commentList>
    <comment ref="G5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>
  <authors>
    <author>user</author>
  </authors>
  <commentList>
    <comment ref="G5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>
  <authors>
    <author>user</author>
  </authors>
  <commentList>
    <comment ref="G5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>
  <authors>
    <author>user</author>
  </authors>
  <commentList>
    <comment ref="G5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>
  <authors>
    <author>user</author>
  </authors>
  <commentList>
    <comment ref="G5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>
  <authors>
    <author>user</author>
  </authors>
  <commentList>
    <comment ref="G5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>
  <authors>
    <author>user</author>
  </authors>
  <commentList>
    <comment ref="G5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9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0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1.xml><?xml version="1.0" encoding="utf-8"?>
<comments xmlns="http://schemas.openxmlformats.org/spreadsheetml/2006/main">
  <authors>
    <author>user</author>
  </authors>
  <commentList>
    <comment ref="G6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2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3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4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4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44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46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<sst xmlns="http://schemas.openxmlformats.org/spreadsheetml/2006/main" count="3681" uniqueCount="447">
  <si>
    <t>NO</t>
  </si>
  <si>
    <t>:</t>
  </si>
  <si>
    <t>01 - LK/2022/V/002</t>
  </si>
  <si>
    <t>LIMIT LK :</t>
  </si>
  <si>
    <t xml:space="preserve">PROJECT  </t>
  </si>
  <si>
    <t>22.003 - Adaro Rehabilitation Of Existing Conv K1-CV-S03</t>
  </si>
  <si>
    <t>Ttl LK sampai saat ini :</t>
  </si>
  <si>
    <t>PERIODE</t>
  </si>
  <si>
    <t>04 Maret 2022 - 14 Maret 2022</t>
  </si>
  <si>
    <t>Sisa limit LK :</t>
  </si>
  <si>
    <t>Persentasi :</t>
  </si>
  <si>
    <t>DESKRIPSI</t>
  </si>
  <si>
    <t>KREDIT</t>
  </si>
  <si>
    <t>DEBET</t>
  </si>
  <si>
    <t>SALDO</t>
  </si>
  <si>
    <t>Modal</t>
  </si>
  <si>
    <t>Modal awal Proyek</t>
  </si>
  <si>
    <t>LK (Terpakai)</t>
  </si>
  <si>
    <t>Saldo Terpakai Sebelumnya</t>
  </si>
  <si>
    <t>LK Reimburse (gantung/ berjalan)</t>
  </si>
  <si>
    <t>Tanggal</t>
  </si>
  <si>
    <t>Status</t>
  </si>
  <si>
    <t>LK (Periode) / Kasbon - nominal</t>
  </si>
  <si>
    <t>Out</t>
  </si>
  <si>
    <t>Kasbon 1 - 1.369.000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</si>
  <si>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</si>
  <si>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</si>
  <si>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</si>
  <si>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</si>
  <si>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</si>
  <si>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</si>
  <si>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</si>
  <si>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</si>
  <si>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>Diterima : 21 Apr 2022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</si>
  <si>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</si>
  <si>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</si>
  <si>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</si>
  <si>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</si>
  <si>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</si>
  <si>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</si>
  <si>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</si>
  <si>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</si>
  <si>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 xml:space="preserve">03 - LK/2022/VII/001 </t>
  </si>
  <si>
    <t>15 April 2022 - 14 Mei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</si>
  <si>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</si>
  <si>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</si>
  <si>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</si>
  <si>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</si>
  <si>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</si>
  <si>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</si>
  <si>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</t>
  </si>
  <si>
    <t xml:space="preserve">04 - LK/2022/VII/003 </t>
  </si>
  <si>
    <t>15 Mei 2022 - 14 Juni 2022</t>
  </si>
  <si>
    <t>LK.03 - LK/2022/VII/001 - 15 April 2022 - 14 Mei 2022</t>
  </si>
  <si>
    <t>Kasbon 2 - 0</t>
  </si>
  <si>
    <t>Kasbon 3 - 9.026.606</t>
  </si>
  <si>
    <t xml:space="preserve">05 - LK/2022/VIII/001 </t>
  </si>
  <si>
    <t>15 Juni 2022 - 28 Juni 2022</t>
  </si>
  <si>
    <t>LK.04 - LK/2022/VII/003 - 15 Mei 2022 - 14 Juni 2022</t>
  </si>
  <si>
    <t>Kasbon 3 - 3.028.936</t>
  </si>
  <si>
    <t xml:space="preserve">06 - LK/2022/VIII/002 </t>
  </si>
  <si>
    <t>29 Juni 2022 - 12 Juli 2022</t>
  </si>
  <si>
    <t>LK.05 - LK/2022/VIII/001 - 15 Juni 2022 - 28 Juni 2022</t>
  </si>
  <si>
    <t>Kasbon 3 - 306.936</t>
  </si>
  <si>
    <t xml:space="preserve">07 - LK/2022/VIII/003 </t>
  </si>
  <si>
    <t>13 Juli 2022 - 19 Juli 2022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</si>
  <si>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</si>
  <si>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</si>
  <si>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</si>
  <si>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</si>
  <si>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</si>
  <si>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 xml:space="preserve">08 - LK/2022/VIII/004 </t>
  </si>
  <si>
    <t>20 Juli 2022 - 02 Agustus 2022</t>
  </si>
  <si>
    <t>LK.07 - LK/2022/VIII/003 - 13 Juli 2022 - 19 Juli 2022</t>
  </si>
  <si>
    <t>08 - LK/2022/VIII/004 (20 Juli 2022 - 02 August 2022)</t>
  </si>
  <si>
    <t>Kasbon 5 - 0</t>
  </si>
  <si>
    <t>Kasbon 6 - 17.964.054,08</t>
  </si>
  <si>
    <t xml:space="preserve">09 - LK/2022/IX/001 </t>
  </si>
  <si>
    <t>20 Juli 2022 - 20 Agustus 2022</t>
  </si>
  <si>
    <t>LK.08 - LK/2022/VIII/003 - 20 Juli 2022 - 02 Agustus 2022</t>
  </si>
  <si>
    <t>LK.09 - LK/2022/IX/001 - 20 Juli 2022 - 20 Agust 2022</t>
  </si>
  <si>
    <t>Kasbon 6 - 899,435,65</t>
  </si>
  <si>
    <t>10 - LK/2022/X/001</t>
  </si>
  <si>
    <t>07 Juli 2022 - 30 Agustus 2022</t>
  </si>
  <si>
    <t>LK.08 - LK/2022/VIII/003 - 13 Juli 2022 - 19 Juli 2022</t>
  </si>
  <si>
    <t>LK.10 - LK/2022/X/001 - 07 Juli 2022 - 30 Agust 2022</t>
  </si>
  <si>
    <t>Kasbon 6 - 0</t>
  </si>
  <si>
    <t>Kasbon 7 - 136,432,65</t>
  </si>
  <si>
    <t xml:space="preserve">11 - LK/2022/X/002 </t>
  </si>
  <si>
    <t>16 Agustus 2022 - 07 September 2022</t>
  </si>
  <si>
    <t>LK.11 - LK/2022/X/002 - 16 Agust 2022 - 07 Sept 2022</t>
  </si>
  <si>
    <t>Kasbon 7 - 0</t>
  </si>
  <si>
    <t>Kasbon 8 - 13.007.932,65</t>
  </si>
  <si>
    <t>12 - LK/2022/X/003</t>
  </si>
  <si>
    <t>02 September 2022 - 15 September 2022</t>
  </si>
  <si>
    <t>Stat</t>
  </si>
  <si>
    <t>LK.12 - LK/2022/X/002 - 03 Sept 2022 - 15 Sept 2022</t>
  </si>
  <si>
    <t>Kasbon 8 - 6.824.404,80</t>
  </si>
  <si>
    <t>13 - LK/2022/X/010</t>
  </si>
  <si>
    <t>15 Agustus 2022 - 29 September 2022</t>
  </si>
  <si>
    <t>LK.12 - LK/2022/X/003 - 02 Sept 2022 - 15 Sept 2022</t>
  </si>
  <si>
    <t>LK.13 - LK/2022/X/010 - 15 Agust 2022 - 29 Sept 2022</t>
  </si>
  <si>
    <t>Kasbon 8 - 0</t>
  </si>
  <si>
    <t>Kasbon 9 - 11.606.553,80</t>
  </si>
  <si>
    <t>14 - LK/2022/X/009</t>
  </si>
  <si>
    <t>16 September 2022 - 30 September 2022</t>
  </si>
  <si>
    <t>LK.14 - LK/2022/X/009 - 15 Agust 2022 - 29 Sept 2022</t>
  </si>
  <si>
    <t>Kasbon 9 - 0</t>
  </si>
  <si>
    <t>Kasbon 10 - 0</t>
  </si>
  <si>
    <t>Kasbon 11 - 12.788.454,25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</si>
  <si>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</si>
  <si>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</si>
  <si>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</si>
  <si>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</si>
  <si>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11 - 1.527.262,25</t>
  </si>
  <si>
    <t>16 - LK/2022/XI/005</t>
  </si>
  <si>
    <t>16 Oktober 2022 - 30 Oktober 2022</t>
  </si>
  <si>
    <t>No LK</t>
  </si>
  <si>
    <t>LK 01 - 04</t>
  </si>
  <si>
    <t>04 Mar s/d 14 Jun 2022</t>
  </si>
  <si>
    <t>(LK/2022/V/002, LK/2022/VI/002, LK/2022/VII/001, LK/2022/VII/003)</t>
  </si>
  <si>
    <t>LK 05 - 07</t>
  </si>
  <si>
    <t>15 Jun s/d 19 Jul 2022</t>
  </si>
  <si>
    <t>(LK/2022/VIII/001, LK/2022/VIII/002, LK/2022/VIII/003)</t>
  </si>
  <si>
    <t>LK 08 - 10</t>
  </si>
  <si>
    <t>20 Jul s/d - 30 Ags 2022</t>
  </si>
  <si>
    <t>(LK/2022/VIII/004, LK/2022/IX/001, LK/2022/X/003)</t>
  </si>
  <si>
    <t>LK 11 - 14</t>
  </si>
  <si>
    <t>16 Ags s/d 30 Sep 2022</t>
  </si>
  <si>
    <t>(LK/2022/X/002, LK/2022/X/003, LK/2022/X/010, LK/2022/X009)</t>
  </si>
  <si>
    <t>LK 15</t>
  </si>
  <si>
    <t>01 - 15 Okt 2022 (LK/2022/X/008)</t>
  </si>
  <si>
    <t>Modal Awal</t>
  </si>
  <si>
    <t>Kasbon (Terpakai/ Nominal)</t>
  </si>
  <si>
    <t>Debet</t>
  </si>
  <si>
    <t>Sisa Kasbon</t>
  </si>
  <si>
    <r>
      <rPr>
        <sz val="13"/>
        <rFont val="Comic Sans MS"/>
        <charset val="134"/>
      </rPr>
      <t>KB 1-10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114.500.000/ </t>
    </r>
    <r>
      <rPr>
        <sz val="13"/>
        <rFont val="Comic Sans MS"/>
        <charset val="134"/>
      </rPr>
      <t>114.500.000)</t>
    </r>
  </si>
  <si>
    <t>01-15 Okt</t>
  </si>
  <si>
    <r>
      <rPr>
        <sz val="13"/>
        <rFont val="Comic Sans MS"/>
        <charset val="134"/>
      </rPr>
      <t>KB 11 (</t>
    </r>
    <r>
      <rPr>
        <sz val="13"/>
        <color rgb="FFFF0000"/>
        <rFont val="Comic Sans MS"/>
        <charset val="134"/>
      </rPr>
      <t xml:space="preserve">12.472737,75/ </t>
    </r>
    <r>
      <rPr>
        <sz val="13"/>
        <rFont val="Comic Sans MS"/>
        <charset val="134"/>
      </rPr>
      <t>14.000.000)</t>
    </r>
  </si>
  <si>
    <t>16-31 Okt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</si>
  <si>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15.000.000)</t>
    </r>
  </si>
  <si>
    <t>LK Reimburse Saat Ini</t>
  </si>
  <si>
    <t>LK.16 - LK/2022/XI/005 - 15 Okt 2022 - 30 Okt 2022</t>
  </si>
  <si>
    <t>17 - LK/2022/XI/007</t>
  </si>
  <si>
    <t>20 Sept 2022 - 31 Oktober 2022</t>
  </si>
  <si>
    <t>LK 15 - 16</t>
  </si>
  <si>
    <t>01 Okt s/d 30 Okt 2022</t>
  </si>
  <si>
    <t>(LK/2022/XI/005, LK/2022/XI/005)</t>
  </si>
  <si>
    <r>
      <rPr>
        <sz val="13"/>
        <rFont val="Comic Sans MS"/>
        <charset val="134"/>
      </rPr>
      <t>KB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128.500.000/ </t>
    </r>
    <r>
      <rPr>
        <sz val="13"/>
        <rFont val="Comic Sans MS"/>
        <charset val="134"/>
      </rPr>
      <t>128.500.000)</t>
    </r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</si>
  <si>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6.150.071,75/ </t>
    </r>
    <r>
      <rPr>
        <sz val="13"/>
        <rFont val="Comic Sans MS"/>
        <charset val="134"/>
      </rPr>
      <t>15.000.000)</t>
    </r>
  </si>
  <si>
    <t>LK.17 - LK/2022/XI/007 - 20 Sep 2022 - 31 Okt 2022</t>
  </si>
  <si>
    <t>18 - LK/2022/XI/008</t>
  </si>
  <si>
    <t>01 November 2022 - 15 November 2022</t>
  </si>
  <si>
    <t>(LK/2022/XI/005, LK/2022/XI/007)</t>
  </si>
  <si>
    <t>LK 17</t>
  </si>
  <si>
    <t>20 Sep s/d 31 Okt 2022 (LK/2022/XI/007)</t>
  </si>
  <si>
    <r>
      <rPr>
        <sz val="13"/>
        <rFont val="Comic Sans MS"/>
        <charset val="134"/>
      </rPr>
      <t>KB 12 (</t>
    </r>
    <r>
      <rPr>
        <sz val="13"/>
        <color rgb="FFFF0000"/>
        <rFont val="Comic Sans MS"/>
        <charset val="134"/>
      </rPr>
      <t xml:space="preserve">12.691.071,75/ </t>
    </r>
    <r>
      <rPr>
        <sz val="13"/>
        <rFont val="Comic Sans MS"/>
        <charset val="134"/>
      </rPr>
      <t>15.000.000)</t>
    </r>
  </si>
  <si>
    <t>01-15 Nov</t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</si>
  <si>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17.000.000/ </t>
    </r>
    <r>
      <rPr>
        <sz val="13"/>
        <rFont val="Comic Sans MS"/>
        <charset val="134"/>
      </rPr>
      <t>17.000.000)</t>
    </r>
  </si>
  <si>
    <t>LK.18 - LK/2022/XI/007 - 01 Nov 2022 - 15 Nov 2022</t>
  </si>
  <si>
    <t>19 - LK/2022/XII/003</t>
  </si>
  <si>
    <t>21 September 2022 - 03 Desember 2022</t>
  </si>
  <si>
    <t>LK 15 - 17</t>
  </si>
  <si>
    <t>01 Okt s/d 15 Nov 2022</t>
  </si>
  <si>
    <t>(LK/2022/X/008, LK/2022/XI/005, LK/2022/XI/007)</t>
  </si>
  <si>
    <t>LK 19</t>
  </si>
  <si>
    <t>01 Nov s/d 15 Nov 2022 (LK/2022/XII/003)</t>
  </si>
  <si>
    <r>
      <rPr>
        <sz val="13"/>
        <rFont val="Comic Sans MS"/>
        <charset val="134"/>
      </rPr>
      <t>KB 1-12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143.500.000/ </t>
    </r>
    <r>
      <rPr>
        <sz val="13"/>
        <rFont val="Comic Sans MS"/>
        <charset val="134"/>
      </rPr>
      <t>143.500.000)</t>
    </r>
  </si>
  <si>
    <r>
      <rPr>
        <sz val="13"/>
        <rFont val="Comic Sans MS"/>
        <charset val="134"/>
      </rPr>
      <t>KB 13 (</t>
    </r>
    <r>
      <rPr>
        <sz val="13"/>
        <color rgb="FFFF0000"/>
        <rFont val="Comic Sans MS"/>
        <charset val="134"/>
      </rPr>
      <t xml:space="preserve">13.581.171,75/ </t>
    </r>
    <r>
      <rPr>
        <sz val="13"/>
        <rFont val="Comic Sans MS"/>
        <charset val="134"/>
      </rPr>
      <t>17.000.000)</t>
    </r>
  </si>
  <si>
    <t>15-30 Nov</t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</si>
  <si>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14.000.000)</t>
    </r>
  </si>
  <si>
    <t>LK.19 - LK/2022/XIII/003 - 21 Sep 2022 - 03 Des 2022</t>
  </si>
  <si>
    <t>20 - LK/2023/I/001</t>
  </si>
  <si>
    <t>01 Desember 2022 - 15 Desember 2022</t>
  </si>
  <si>
    <t>LK 15 - 18</t>
  </si>
  <si>
    <t>(LK/2022/X/008, LK/2022/XI/005, LK/2022/XI/007, LK/2022/XI/008)</t>
  </si>
  <si>
    <t>21 Sep s/d 03 Des 2022 (LK/2022/XII/003)</t>
  </si>
  <si>
    <r>
      <rPr>
        <sz val="13"/>
        <rFont val="Comic Sans MS"/>
        <charset val="134"/>
      </rPr>
      <t>KB 1-13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160.500.000/ </t>
    </r>
    <r>
      <rPr>
        <sz val="13"/>
        <rFont val="Comic Sans MS"/>
        <charset val="134"/>
      </rPr>
      <t>160.500.000)</t>
    </r>
  </si>
  <si>
    <r>
      <rPr>
        <sz val="13"/>
        <rFont val="Comic Sans MS"/>
        <charset val="134"/>
      </rPr>
      <t>KB 14 (</t>
    </r>
    <r>
      <rPr>
        <sz val="13"/>
        <color rgb="FFFF0000"/>
        <rFont val="Comic Sans MS"/>
        <charset val="134"/>
      </rPr>
      <t xml:space="preserve">7.366.271,75/ </t>
    </r>
    <r>
      <rPr>
        <sz val="13"/>
        <rFont val="Comic Sans MS"/>
        <charset val="134"/>
      </rPr>
      <t>14.000.000)</t>
    </r>
  </si>
  <si>
    <t>01-15 Des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</si>
  <si>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</si>
  <si>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LK.20 - LK/2023/I/002 - 01 Des 2022 - 15 Des 2022</t>
  </si>
  <si>
    <t>21 - LK/2023/I/002</t>
  </si>
  <si>
    <t>15 Desember 2022 - 31 Desember 2022</t>
  </si>
  <si>
    <t>LK 19 - 20</t>
  </si>
  <si>
    <t xml:space="preserve">21 Sep s/d 15 Des 2022 </t>
  </si>
  <si>
    <t>(LK/2022/XII/003, LK/2023/I/001)</t>
  </si>
  <si>
    <r>
      <rPr>
        <sz val="13"/>
        <rFont val="Comic Sans MS"/>
        <charset val="134"/>
      </rPr>
      <t>KB 1-14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174.500.000/ </t>
    </r>
    <r>
      <rPr>
        <sz val="13"/>
        <rFont val="Comic Sans MS"/>
        <charset val="134"/>
      </rPr>
      <t>174.500.000)</t>
    </r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</si>
  <si>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2.958.946,75/ </t>
    </r>
    <r>
      <rPr>
        <sz val="13"/>
        <rFont val="Comic Sans MS"/>
        <charset val="134"/>
      </rPr>
      <t>18.000.000)</t>
    </r>
  </si>
  <si>
    <t>LK.21 - LK/2023/I/002 - 15 Des 2022 - 31 Des 2022</t>
  </si>
  <si>
    <t>22 - LK/2023/I/003</t>
  </si>
  <si>
    <t>01 Desember 2022 - 08 Januari 2023</t>
  </si>
  <si>
    <t>LK 19 - 21</t>
  </si>
  <si>
    <t xml:space="preserve">21 Sep s/d 31 Des 2022 </t>
  </si>
  <si>
    <t>(LK/2022/XII/003, LK/2023/I/001, LK/2023/I/002)</t>
  </si>
  <si>
    <r>
      <rPr>
        <sz val="13"/>
        <rFont val="Comic Sans MS"/>
        <charset val="134"/>
      </rPr>
      <t>KB 15 (</t>
    </r>
    <r>
      <rPr>
        <sz val="13"/>
        <color rgb="FFFF0000"/>
        <rFont val="Comic Sans MS"/>
        <charset val="134"/>
      </rPr>
      <t xml:space="preserve">14.509.106,75/ </t>
    </r>
    <r>
      <rPr>
        <sz val="13"/>
        <rFont val="Comic Sans MS"/>
        <charset val="134"/>
      </rPr>
      <t>18.000.000)</t>
    </r>
  </si>
  <si>
    <t>15-31 Des</t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</si>
  <si>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</si>
  <si>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LK.22 - LK/2023/I/003 - 01 Des 2022 - 08 Jan 2023</t>
  </si>
  <si>
    <t>23 - LK/2023/II/001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</si>
  <si>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</si>
  <si>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</si>
  <si>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</si>
  <si>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</si>
  <si>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192.500.000/ </t>
    </r>
    <r>
      <rPr>
        <sz val="13"/>
        <rFont val="Comic Sans MS"/>
        <charset val="134"/>
      </rPr>
      <t>192.500.000)</t>
    </r>
  </si>
  <si>
    <r>
      <rPr>
        <sz val="13"/>
        <rFont val="Comic Sans MS"/>
        <charset val="134"/>
      </rPr>
      <t>KB 16 (</t>
    </r>
    <r>
      <rPr>
        <sz val="13"/>
        <color rgb="FFFF0000"/>
        <rFont val="Comic Sans MS"/>
        <charset val="134"/>
      </rPr>
      <t xml:space="preserve">6.072.956,75/ </t>
    </r>
    <r>
      <rPr>
        <sz val="13"/>
        <rFont val="Comic Sans MS"/>
        <charset val="134"/>
      </rPr>
      <t>13.000.000)</t>
    </r>
  </si>
  <si>
    <t>01-15 Jan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</si>
  <si>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</si>
  <si>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LK.23 - LK/2023/II/001 - 21 Des 2022 - 15 Jan 2023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</si>
  <si>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</si>
  <si>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</si>
  <si>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</si>
  <si>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</si>
  <si>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</si>
  <si>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charset val="134"/>
      </rPr>
      <t>KB 1-15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</si>
  <si>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3.866.346,75/ </t>
    </r>
    <r>
      <rPr>
        <sz val="13"/>
        <rFont val="Comic Sans MS"/>
        <charset val="134"/>
      </rPr>
      <t>11.000.000)</t>
    </r>
  </si>
  <si>
    <t>LK.24 - LK/2023/II/002 - 16 Jan - 24 Jan 2023</t>
  </si>
  <si>
    <t>25 - LK/2023/III/001</t>
  </si>
  <si>
    <t>23 December 2022 - 31 Januari 2023</t>
  </si>
  <si>
    <t>LK 23 - 24</t>
  </si>
  <si>
    <t xml:space="preserve">21 Des 2022 s/d 31 Jan 2023 </t>
  </si>
  <si>
    <t>(LK/2023/II/001, LK/2023/II/002)</t>
  </si>
  <si>
    <r>
      <rPr>
        <sz val="13"/>
        <rFont val="Comic Sans MS"/>
        <charset val="134"/>
      </rPr>
      <t>KB 17 (</t>
    </r>
    <r>
      <rPr>
        <sz val="13"/>
        <color rgb="FFFF0000"/>
        <rFont val="Comic Sans MS"/>
        <charset val="134"/>
      </rPr>
      <t xml:space="preserve">8.491.846,75/ </t>
    </r>
    <r>
      <rPr>
        <sz val="13"/>
        <rFont val="Comic Sans MS"/>
        <charset val="134"/>
      </rPr>
      <t>11.000.000)</t>
    </r>
  </si>
  <si>
    <t>16-31 Jan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</si>
  <si>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18.000.000)</t>
    </r>
  </si>
  <si>
    <t>LK.25 - LK/2023/III/001 - 23 Dec 2022 - 31 Jan 2023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</si>
  <si>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</si>
  <si>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</si>
  <si>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</si>
  <si>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</si>
  <si>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</si>
  <si>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234.500.000/ </t>
    </r>
    <r>
      <rPr>
        <sz val="13"/>
        <rFont val="Comic Sans MS"/>
        <charset val="134"/>
      </rPr>
      <t>234.500.000)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</si>
  <si>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3.191.882,75/ </t>
    </r>
    <r>
      <rPr>
        <sz val="13"/>
        <rFont val="Comic Sans MS"/>
        <charset val="134"/>
      </rPr>
      <t>18.000.000)</t>
    </r>
  </si>
  <si>
    <t>LK.26 - LK/2023/III/003 - 01 Feb - 16 Feb 2023</t>
  </si>
  <si>
    <t>27 - LK/2023/III/009</t>
  </si>
  <si>
    <t>01 Februari 2023 - 28 Februari 2023</t>
  </si>
  <si>
    <t>LK 23 - 26</t>
  </si>
  <si>
    <t xml:space="preserve">21 Des 2022 s/d 28 Feb 2023 </t>
  </si>
  <si>
    <t>(LK/2023/II/001, LK/2023/II/002, LK/2023/III/001, LK/2023/III/003)</t>
  </si>
  <si>
    <r>
      <rPr>
        <sz val="13"/>
        <rFont val="Comic Sans MS"/>
        <charset val="134"/>
      </rPr>
      <t>KB 1-17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216.500.000/ </t>
    </r>
    <r>
      <rPr>
        <sz val="13"/>
        <rFont val="Comic Sans MS"/>
        <charset val="134"/>
      </rPr>
      <t>216.500.000)</t>
    </r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</si>
  <si>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8.516.332,75/ </t>
    </r>
    <r>
      <rPr>
        <sz val="13"/>
        <rFont val="Comic Sans MS"/>
        <charset val="134"/>
      </rPr>
      <t>18.000.000)</t>
    </r>
  </si>
  <si>
    <t>LK.27 - LK/2023/III/009 - 01 Feb - 28 Feb 2023</t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</si>
  <si>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</si>
  <si>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</si>
  <si>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</si>
  <si>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</si>
  <si>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</si>
  <si>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charset val="134"/>
      </rPr>
      <t>KB 18 (</t>
    </r>
    <r>
      <rPr>
        <sz val="13"/>
        <color rgb="FFFF0000"/>
        <rFont val="Comic Sans MS"/>
        <charset val="134"/>
      </rPr>
      <t xml:space="preserve">14.935.632,75/ </t>
    </r>
    <r>
      <rPr>
        <sz val="13"/>
        <rFont val="Comic Sans MS"/>
        <charset val="134"/>
      </rPr>
      <t>18.000.000)</t>
    </r>
  </si>
  <si>
    <t>01-15 Feb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</si>
  <si>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13.000.000)</t>
    </r>
  </si>
  <si>
    <t>LK.28 - LK/2023/III/014 - 09 Jan - 25 Feb 2023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</si>
  <si>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</si>
  <si>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</si>
  <si>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</si>
  <si>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</si>
  <si>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</si>
  <si>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205.500.000/ </t>
    </r>
    <r>
      <rPr>
        <sz val="13"/>
        <rFont val="Comic Sans MS"/>
        <charset val="134"/>
      </rPr>
      <t>205.500.000)</t>
    </r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</si>
  <si>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5.767.682,75/ </t>
    </r>
    <r>
      <rPr>
        <sz val="13"/>
        <rFont val="Comic Sans MS"/>
        <charset val="134"/>
      </rPr>
      <t>13.000.000)</t>
    </r>
  </si>
  <si>
    <t>LK.29 - LK/2023/III/015 - 01 Mar - 15 Mar 2023</t>
  </si>
  <si>
    <t>30 - LK/2023/III/016</t>
  </si>
  <si>
    <t>16 Maret 2023 - 29 Maret 2023</t>
  </si>
  <si>
    <t>LK 27 - 29</t>
  </si>
  <si>
    <t xml:space="preserve">09 Jan 2023 s/d 15 Mar 2023 </t>
  </si>
  <si>
    <t>(LK/2023/III/009, LK/2023/III/014, LK/2023/III/015)</t>
  </si>
  <si>
    <r>
      <rPr>
        <sz val="13"/>
        <rFont val="Comic Sans MS"/>
        <charset val="134"/>
      </rPr>
      <t>KB 19 (</t>
    </r>
    <r>
      <rPr>
        <sz val="13"/>
        <color rgb="FFFF0000"/>
        <rFont val="Comic Sans MS"/>
        <charset val="134"/>
      </rPr>
      <t xml:space="preserve">11.010.682,75/ </t>
    </r>
    <r>
      <rPr>
        <sz val="13"/>
        <rFont val="Comic Sans MS"/>
        <charset val="134"/>
      </rPr>
      <t>13.000.000)</t>
    </r>
  </si>
  <si>
    <t>15-28 Feb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</si>
  <si>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</si>
  <si>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LK.30 - LK/2023/III/016 - 16 Mar - 29 Mar 2023</t>
  </si>
  <si>
    <t>31 - LK/2023/V/001</t>
  </si>
  <si>
    <t>10 Maret 2023 - 18 April 2023</t>
  </si>
  <si>
    <t>LK 27 - 30</t>
  </si>
  <si>
    <t xml:space="preserve">09 Jan 2023 s/d 29 Mar 2023 </t>
  </si>
  <si>
    <t>(LK/2023/III/009, LK/2023/III/014, LK/2023/III/015, LK/2023/III/016)</t>
  </si>
  <si>
    <r>
      <rPr>
        <sz val="13"/>
        <rFont val="Comic Sans MS"/>
        <charset val="134"/>
      </rPr>
      <t>KB 1-18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218.500.000/ </t>
    </r>
    <r>
      <rPr>
        <sz val="13"/>
        <rFont val="Comic Sans MS"/>
        <charset val="134"/>
      </rPr>
      <t>218.500.000)</t>
    </r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</si>
  <si>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2.196.882,75/ </t>
    </r>
    <r>
      <rPr>
        <sz val="13"/>
        <rFont val="Comic Sans MS"/>
        <charset val="134"/>
      </rPr>
      <t>11.000.000)</t>
    </r>
  </si>
  <si>
    <t>LK.31 - LK/2023/V/001 - 10 Mar - 18 Apr 2023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</si>
  <si>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</si>
  <si>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</si>
  <si>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</si>
  <si>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</si>
  <si>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</si>
  <si>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charset val="134"/>
      </rPr>
      <t>KB 20 (</t>
    </r>
    <r>
      <rPr>
        <sz val="13"/>
        <color rgb="FFFF0000"/>
        <rFont val="Comic Sans MS"/>
        <charset val="134"/>
      </rPr>
      <t xml:space="preserve">10.240.882,75/ </t>
    </r>
    <r>
      <rPr>
        <sz val="13"/>
        <rFont val="Comic Sans MS"/>
        <charset val="134"/>
      </rPr>
      <t>11.000.000)</t>
    </r>
  </si>
  <si>
    <t>01-15 Mar</t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</si>
  <si>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12.000.000)</t>
    </r>
  </si>
  <si>
    <t>LK.32 - LK/2023/V/002 - 08 Feb - 08 Apr 2023</t>
  </si>
  <si>
    <t>33 - LK/2023/V/005</t>
  </si>
  <si>
    <t>11 April 2023 - 30 April 2023</t>
  </si>
  <si>
    <t>LK 31 - 32</t>
  </si>
  <si>
    <t xml:space="preserve">08 Feb 2023 s/d 18 Apr 2023 </t>
  </si>
  <si>
    <t>(LK/2023/V/001, LK/2023/V/002)</t>
  </si>
  <si>
    <r>
      <rPr>
        <sz val="13"/>
        <rFont val="Comic Sans MS"/>
        <charset val="134"/>
      </rPr>
      <t>KB 1-20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242.500.000/ </t>
    </r>
    <r>
      <rPr>
        <sz val="13"/>
        <rFont val="Comic Sans MS"/>
        <charset val="134"/>
      </rPr>
      <t>242.500.000)</t>
    </r>
  </si>
  <si>
    <r>
      <rPr>
        <sz val="13"/>
        <rFont val="Comic Sans MS"/>
        <charset val="134"/>
      </rPr>
      <t>KB 21 (</t>
    </r>
    <r>
      <rPr>
        <sz val="13"/>
        <color rgb="FFFF0000"/>
        <rFont val="Comic Sans MS"/>
        <charset val="134"/>
      </rPr>
      <t xml:space="preserve">10.560.182,75/ </t>
    </r>
    <r>
      <rPr>
        <sz val="13"/>
        <rFont val="Comic Sans MS"/>
        <charset val="134"/>
      </rPr>
      <t>12.000.000)</t>
    </r>
  </si>
  <si>
    <t>16-31 Mar</t>
  </si>
  <si>
    <r>
      <rPr>
        <sz val="13"/>
        <rFont val="Comic Sans MS"/>
        <charset val="134"/>
      </rPr>
      <t>KB 22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8.000.000)</t>
    </r>
  </si>
  <si>
    <t>01-15 Apr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</si>
  <si>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</si>
  <si>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LK.33 - LK/2023/V/005 - 11 Apr - 30 Apr 2023</t>
  </si>
  <si>
    <t>34 - LK/2023/V/006</t>
  </si>
  <si>
    <t>02 Mei 2023 - 11 Mei 2023</t>
  </si>
  <si>
    <t>LK 31 - 33</t>
  </si>
  <si>
    <t xml:space="preserve">08 Feb 2023 s/d 30 Apr 2023 </t>
  </si>
  <si>
    <t>(LK/2023/V/001, LK/2023/V/002, LK/2023/V/005)</t>
  </si>
  <si>
    <r>
      <rPr>
        <sz val="13"/>
        <rFont val="Comic Sans MS"/>
        <charset val="134"/>
      </rPr>
      <t>KB 1-22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262.500.000/ </t>
    </r>
    <r>
      <rPr>
        <sz val="13"/>
        <rFont val="Comic Sans MS"/>
        <charset val="134"/>
      </rPr>
      <t>262.500.000)</t>
    </r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</si>
  <si>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3.730.182,75/ </t>
    </r>
    <r>
      <rPr>
        <sz val="13"/>
        <rFont val="Comic Sans MS"/>
        <charset val="134"/>
      </rPr>
      <t>20.000.000)</t>
    </r>
  </si>
  <si>
    <t>LK.34 - LK/2023/V/006 - 02 Mei - 11 Mei 2023</t>
  </si>
  <si>
    <t>35 - LK/2023/IV/001</t>
  </si>
  <si>
    <t>01 Mar 2023 - 25 Mar 2023</t>
  </si>
  <si>
    <t>LK 31 - 34</t>
  </si>
  <si>
    <t xml:space="preserve">08 Feb 2023 s/d 11 Mei 2023 </t>
  </si>
  <si>
    <t>(LK/2023/V/001, LK/2023/V/002, LK/2023/V/005, LK/2023/V/006)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</si>
  <si>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8.340.682,75/ </t>
    </r>
    <r>
      <rPr>
        <sz val="13"/>
        <rFont val="Comic Sans MS"/>
        <charset val="134"/>
      </rPr>
      <t>20.000.000)</t>
    </r>
  </si>
  <si>
    <t>LK.35 - LK/2023/IV/001 - 01 Mar - 25 Mar 2023</t>
  </si>
  <si>
    <t>36 - LK/2023/V/007</t>
  </si>
  <si>
    <t>24 Mar 2023 - 07 Mei 2023</t>
  </si>
  <si>
    <t>LK 35</t>
  </si>
  <si>
    <t xml:space="preserve">01 Mar 2023 s/d 25 Mar 2023 </t>
  </si>
  <si>
    <t>(LK/2023/IV/001)</t>
  </si>
  <si>
    <r>
      <rPr>
        <sz val="13"/>
        <rFont val="Comic Sans MS"/>
        <charset val="134"/>
      </rPr>
      <t>KB 23 (</t>
    </r>
    <r>
      <rPr>
        <sz val="13"/>
        <color rgb="FFFF0000"/>
        <rFont val="Comic Sans MS"/>
        <charset val="134"/>
      </rPr>
      <t xml:space="preserve">10.762.682,75/ </t>
    </r>
    <r>
      <rPr>
        <sz val="13"/>
        <rFont val="Comic Sans MS"/>
        <charset val="134"/>
      </rPr>
      <t>20.000.000)</t>
    </r>
  </si>
  <si>
    <t>16/04-30/05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</si>
  <si>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11.000.000)</t>
    </r>
  </si>
  <si>
    <t>LK.36 - LK/2023/V/007 - 24 Mar - 07 Mei 2023</t>
  </si>
  <si>
    <t>37 - LK/2023/V/013</t>
  </si>
  <si>
    <t>20 Apr 2023 - 17 Mei 2023</t>
  </si>
  <si>
    <t>LK 35 - 36</t>
  </si>
  <si>
    <t xml:space="preserve">01 Mar 2023 s/d 07 Mei 2023 </t>
  </si>
  <si>
    <t>(LK/2023/V/001, LK/2023/V/007)</t>
  </si>
  <si>
    <r>
      <rPr>
        <sz val="13"/>
        <rFont val="Comic Sans MS"/>
        <charset val="134"/>
      </rPr>
      <t>KB 1-23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282.500.000/ </t>
    </r>
    <r>
      <rPr>
        <sz val="13"/>
        <rFont val="Comic Sans MS"/>
        <charset val="134"/>
      </rPr>
      <t>282.500.000)</t>
    </r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</si>
  <si>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577.882,75/ </t>
    </r>
    <r>
      <rPr>
        <sz val="13"/>
        <rFont val="Comic Sans MS"/>
        <charset val="134"/>
      </rPr>
      <t>11.000.000)</t>
    </r>
  </si>
  <si>
    <t>LK.37 - LK/2023/V/013 - 20 Apr - 17 Mei 2023</t>
  </si>
  <si>
    <t>38 - LK/2023/VI/001</t>
  </si>
  <si>
    <t>13 Mei 2023 - 31 Mei 2023</t>
  </si>
  <si>
    <t>LK 35 - 37</t>
  </si>
  <si>
    <t xml:space="preserve">01 Mar 2023 s/d 17 Mei 2023 </t>
  </si>
  <si>
    <t>(LK/2023/V/001, LK/2023/V/007, LK/2023/V/013)</t>
  </si>
  <si>
    <r>
      <rPr>
        <sz val="13"/>
        <rFont val="Comic Sans MS"/>
        <charset val="134"/>
      </rPr>
      <t>KB 24 (</t>
    </r>
    <r>
      <rPr>
        <sz val="13"/>
        <color rgb="FFFF0000"/>
        <rFont val="Comic Sans MS"/>
        <charset val="134"/>
      </rPr>
      <t xml:space="preserve">9.188.282,75/ </t>
    </r>
    <r>
      <rPr>
        <sz val="13"/>
        <rFont val="Comic Sans MS"/>
        <charset val="134"/>
      </rPr>
      <t>11.000.000)</t>
    </r>
  </si>
  <si>
    <t>01 - 16/ 06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</si>
  <si>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9.000.000)</t>
    </r>
  </si>
  <si>
    <t>LK.38 - LK/2023/VI/001 - 13 Mei - 31 Mei 2023</t>
  </si>
  <si>
    <t>39 - LK/2023/VI/006</t>
  </si>
  <si>
    <t>30 Apr 2023 - 01 Jun 2023</t>
  </si>
  <si>
    <t>LK 35 - 38</t>
  </si>
  <si>
    <t xml:space="preserve">01 Mar 2023 s/d 31 Mei 2023 </t>
  </si>
  <si>
    <t>(LK/2023/V/001, LK/2023/V/007, LK/2023/V/013, LK/2023/VI/001)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</si>
  <si>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293.500.000/ </t>
    </r>
    <r>
      <rPr>
        <sz val="13"/>
        <rFont val="Comic Sans MS"/>
        <charset val="134"/>
      </rPr>
      <t>293.500.000)</t>
    </r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</si>
  <si>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3.162.082,75/ </t>
    </r>
    <r>
      <rPr>
        <sz val="13"/>
        <rFont val="Comic Sans MS"/>
        <charset val="134"/>
      </rPr>
      <t>9.000.000)</t>
    </r>
  </si>
  <si>
    <t>LK.39 - LK/2023/VI/006 - 30 Apr - 01 Jun 2023</t>
  </si>
  <si>
    <t>40 - LK/2023/VI/007</t>
  </si>
  <si>
    <t>10 Mei 2023 - 13 Jun 2023</t>
  </si>
  <si>
    <t>LK 39</t>
  </si>
  <si>
    <t xml:space="preserve">30 Apr 2023 s/d 01 Jun 2023 </t>
  </si>
  <si>
    <t>(LK/2023/VI/006)</t>
  </si>
  <si>
    <r>
      <rPr>
        <sz val="13"/>
        <rFont val="Comic Sans MS"/>
        <charset val="134"/>
      </rPr>
      <t>KB 25 (</t>
    </r>
    <r>
      <rPr>
        <sz val="13"/>
        <color rgb="FFFF0000"/>
        <rFont val="Comic Sans MS"/>
        <charset val="134"/>
      </rPr>
      <t xml:space="preserve">7.241.432,75/ </t>
    </r>
    <r>
      <rPr>
        <sz val="13"/>
        <rFont val="Comic Sans MS"/>
        <charset val="134"/>
      </rPr>
      <t>9.000.000)</t>
    </r>
  </si>
  <si>
    <t>16 – 30/06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</si>
  <si>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16.000.000)</t>
    </r>
  </si>
  <si>
    <t>LK.40 - LK/2023/VI/007 - 10 Mei - 13 Jun 2023</t>
  </si>
  <si>
    <t>41 - LK/2023/VII/003</t>
  </si>
  <si>
    <t>10 Mei 2023 - 20 Jun 2023</t>
  </si>
  <si>
    <t>LK 39 - 40</t>
  </si>
  <si>
    <t>(LK/2023/VI/006, LK/2023/VI/007)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</si>
  <si>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302.500.000/ </t>
    </r>
    <r>
      <rPr>
        <sz val="13"/>
        <rFont val="Comic Sans MS"/>
        <charset val="134"/>
      </rPr>
      <t>302.500.000)</t>
    </r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</si>
  <si>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2.449.432,75/ </t>
    </r>
    <r>
      <rPr>
        <sz val="13"/>
        <rFont val="Comic Sans MS"/>
        <charset val="134"/>
      </rPr>
      <t>16.000.000)</t>
    </r>
  </si>
  <si>
    <t>LK.41 - LK/2023/VII/003 - 10 Mei - 20 Jun 2023</t>
  </si>
  <si>
    <t>42 - LK/2023/VII/004</t>
  </si>
  <si>
    <t>05 Jun 2023 - 24 Jun 2023</t>
  </si>
  <si>
    <t>LK 39 - 41</t>
  </si>
  <si>
    <t>(LK/2023/VI/006, LK/2023/VI/007, LK/2023/VII/003)</t>
  </si>
  <si>
    <r>
      <rPr>
        <sz val="13"/>
        <rFont val="Comic Sans MS"/>
        <charset val="134"/>
      </rPr>
      <t>KB 26 (</t>
    </r>
    <r>
      <rPr>
        <sz val="13"/>
        <color rgb="FFFF0000"/>
        <rFont val="Comic Sans MS"/>
        <charset val="134"/>
      </rPr>
      <t xml:space="preserve">9.433.732,75/ </t>
    </r>
    <r>
      <rPr>
        <sz val="13"/>
        <rFont val="Comic Sans MS"/>
        <charset val="134"/>
      </rPr>
      <t>16.000.000)</t>
    </r>
  </si>
  <si>
    <t>LK.42 - LK/2023/VII/004 - 05 Jun - 24 Jun 2023</t>
  </si>
  <si>
    <t>43 - LK/2023/VII/007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</si>
  <si>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</si>
  <si>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</si>
  <si>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</si>
  <si>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charset val="134"/>
      </rPr>
      <t>KB 1-24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318.500.000/ </t>
    </r>
    <r>
      <rPr>
        <sz val="13"/>
        <rFont val="Comic Sans MS"/>
        <charset val="134"/>
      </rPr>
      <t>318.500.000)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</si>
  <si>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 xml:space="preserve">8.000.000/ </t>
    </r>
    <r>
      <rPr>
        <sz val="13"/>
        <rFont val="Comic Sans MS"/>
        <charset val="134"/>
      </rPr>
      <t>8.000.000)</t>
    </r>
  </si>
  <si>
    <t>LK.43 - LK/2023/VII/007 - 21 Jun - 20 Jul 2023</t>
  </si>
  <si>
    <t>44 - LK/2023/VIII/002</t>
  </si>
  <si>
    <t>16 Jul 2023 - 31 Jul 2023</t>
  </si>
  <si>
    <t>LK 43</t>
  </si>
  <si>
    <t xml:space="preserve">21 Jun 2023 s/d 20 Jul 2023 </t>
  </si>
  <si>
    <t>(LK/2023/VII/007)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</si>
  <si>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326.500.000/ </t>
    </r>
    <r>
      <rPr>
        <sz val="13"/>
        <rFont val="Comic Sans MS"/>
        <charset val="134"/>
      </rPr>
      <t>326.500.000)</t>
    </r>
  </si>
  <si>
    <t>LK.44 - LK/2023/VIII/002 - 16 Jul - 31 Jul 2023</t>
  </si>
  <si>
    <t>45 - LK/2023/VIII/004</t>
  </si>
  <si>
    <t>17 Jul 2023 - 22 Ags 2023</t>
  </si>
  <si>
    <t>LK 43 - 44</t>
  </si>
  <si>
    <t xml:space="preserve">21 Jun 2023 s/d 31 Jul 2023 </t>
  </si>
  <si>
    <t>(LK/2023/VII/007, LK/2023/VIII/002)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</si>
  <si>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351.500.000/ </t>
    </r>
    <r>
      <rPr>
        <sz val="13"/>
        <rFont val="Comic Sans MS"/>
        <charset val="134"/>
      </rPr>
      <t>351.500.000)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</si>
  <si>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0</t>
    </r>
    <r>
      <rPr>
        <sz val="13"/>
        <rFont val="Comic Sans MS"/>
        <charset val="134"/>
      </rPr>
      <t>/9.000.000)</t>
    </r>
  </si>
  <si>
    <t>LK.45 - LK/2023/VIII/004 - 17 Jul - 22 Ags 2023</t>
  </si>
  <si>
    <t>46 - LK/2023/IX/001</t>
  </si>
  <si>
    <t>10 Jul 2023 - 22 Ags 2023</t>
  </si>
  <si>
    <t>LK 43 - 45</t>
  </si>
  <si>
    <t xml:space="preserve">21 Jun 2023 s/d 22 Ags 2023 </t>
  </si>
  <si>
    <t>(LK/2023/VII/007, LK/2023/VIII/002, LK/2023/VIII/004)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</si>
  <si>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3.865.000</t>
    </r>
    <r>
      <rPr>
        <sz val="13"/>
        <rFont val="Comic Sans MS"/>
        <charset val="134"/>
      </rPr>
      <t>/9.000.000)</t>
    </r>
  </si>
  <si>
    <t>LK.46 - LK/2023/IX/001 - 10 Jul - 22 Ags 2023</t>
  </si>
  <si>
    <t>47 - LK/2023/X/002</t>
  </si>
  <si>
    <t>15 Ags 2023 - 29 Sep 2023</t>
  </si>
  <si>
    <t>LK 43 - 46</t>
  </si>
  <si>
    <t>(LK/2023/VII/007, LK/2023/VIII/002, LK/2023/VIII/004, LK/2023/IX/001)</t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</si>
  <si>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8.899.200</t>
    </r>
    <r>
      <rPr>
        <sz val="13"/>
        <rFont val="Comic Sans MS"/>
        <charset val="134"/>
      </rPr>
      <t>/9.000.000)</t>
    </r>
  </si>
  <si>
    <r>
      <rPr>
        <sz val="13"/>
        <rFont val="Comic Sans MS"/>
        <charset val="134"/>
      </rPr>
      <t>KB 27 (</t>
    </r>
    <r>
      <rPr>
        <sz val="13"/>
        <color rgb="FFFF0000"/>
        <rFont val="Comic Sans MS"/>
        <charset val="134"/>
      </rPr>
      <t>3.050.225</t>
    </r>
    <r>
      <rPr>
        <sz val="13"/>
        <rFont val="Comic Sans MS"/>
        <charset val="134"/>
      </rPr>
      <t>/7.000.000)</t>
    </r>
  </si>
  <si>
    <t>LK.47 - LK/2023/X/002 - 15 Ags - 29 Sep 2023</t>
  </si>
  <si>
    <t>48 - LK/2023/X/003</t>
  </si>
  <si>
    <t>09 Sep 2023 - 18 Okt 2023</t>
  </si>
  <si>
    <t>LK 47</t>
  </si>
  <si>
    <t xml:space="preserve">15 Ags 2023 s/d 29 Sep 2023 </t>
  </si>
  <si>
    <t>(LK/2023/X/002)</t>
  </si>
  <si>
    <r>
      <rPr>
        <sz val="13"/>
        <rFont val="Comic Sans MS"/>
        <charset val="134"/>
      </rPr>
      <t>KB 1-27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360.500.000/ </t>
    </r>
    <r>
      <rPr>
        <sz val="13"/>
        <rFont val="Comic Sans MS"/>
        <charset val="134"/>
      </rPr>
      <t>360.500.000)</t>
    </r>
  </si>
  <si>
    <r>
      <rPr>
        <sz val="13"/>
        <rFont val="Comic Sans MS"/>
        <charset val="134"/>
      </rPr>
      <t>KB 28 (</t>
    </r>
    <r>
      <rPr>
        <sz val="13"/>
        <color rgb="FFFF0000"/>
        <rFont val="Comic Sans MS"/>
        <charset val="134"/>
      </rPr>
      <t>7.000.000</t>
    </r>
    <r>
      <rPr>
        <sz val="13"/>
        <rFont val="Comic Sans MS"/>
        <charset val="134"/>
      </rPr>
      <t>/9.000.000)</t>
    </r>
  </si>
  <si>
    <t>LK.48 - LK/2023/X/003 - 09 Sep - 18 Okt 2023</t>
  </si>
  <si>
    <t>49 - LK/2023/XII/001</t>
  </si>
  <si>
    <t>18 Okt 2023 - 29 Nov 2023</t>
  </si>
  <si>
    <t>LK 47 - 48</t>
  </si>
  <si>
    <t>(LK/2023/X/002, LK/2023/X/003)</t>
  </si>
  <si>
    <r>
      <rPr>
        <sz val="13"/>
        <rFont val="Comic Sans MS"/>
        <charset val="134"/>
      </rPr>
      <t>KB 1-28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369.500.000/ </t>
    </r>
    <r>
      <rPr>
        <sz val="13"/>
        <rFont val="Comic Sans MS"/>
        <charset val="134"/>
      </rPr>
      <t>369.500.000)</t>
    </r>
  </si>
  <si>
    <t>LK.49 - LK/2023/XII/003 - 18 Okt - 29 Nov 2023</t>
  </si>
  <si>
    <t>50 - LK/2024/I/001</t>
  </si>
  <si>
    <t>28 Jan 2023 - 27 Nov 2023</t>
  </si>
  <si>
    <t>LK 47 - 49</t>
  </si>
  <si>
    <t>(LK/2023/X/002, LK/2023/X/003, LK/2023/XII/001)</t>
  </si>
  <si>
    <t>LK.50 - LK/2024/I/001 - 28 Jan - 27 Nov 2023</t>
  </si>
  <si>
    <t>51 - LK/2024/I/002</t>
  </si>
  <si>
    <t>28 Nov 2023 - 21 Des 2023</t>
  </si>
  <si>
    <t>LK 47 - 50</t>
  </si>
  <si>
    <t>(LK/2023/X/002, LK/2023/X/003, LK/2023/XII/001, LK/2024/I/001)</t>
  </si>
  <si>
    <t>LK.51 - LK/2024/I/002 - 28 Nov - 21 Des 2023</t>
  </si>
  <si>
    <t>52 - LK/2024/I/003</t>
  </si>
  <si>
    <t>23 Des 2023 - 24 Jan 2024</t>
  </si>
  <si>
    <t>LK 01 - 18</t>
  </si>
  <si>
    <t>04 Mar 2022 s/d 15 Nov 2022</t>
  </si>
  <si>
    <t>LK 19 - 42</t>
  </si>
  <si>
    <t>LK 51</t>
  </si>
  <si>
    <t>28 Nov 2020 s/d 21 Des 2023</t>
  </si>
  <si>
    <t>(LK/2024/I/002)</t>
  </si>
  <si>
    <t>LK.52 - LK/2024/I/003 - 23 Des - 24 Jan 2024</t>
  </si>
  <si>
    <t>53 - LK/2024/II/002</t>
  </si>
  <si>
    <t>28 Jan 2024 - 15 Feb 2024</t>
  </si>
  <si>
    <t>LK 51 - 52</t>
  </si>
  <si>
    <t>(LK/2024/I/002, LK/2024/I/002)</t>
  </si>
  <si>
    <t>LK.53 - LK/2024/II/002 - 28 Jan - 15 Feb 2024</t>
  </si>
  <si>
    <t>54 - LK/2024/III/001</t>
  </si>
  <si>
    <t>15 Feb 2024 - 28 Feb 2024</t>
  </si>
  <si>
    <t>LK 51 - 53</t>
  </si>
  <si>
    <t>(LK/2024/I/002, LK/2024/I/002, LK/2024/II/002)</t>
  </si>
  <si>
    <t>LK.54 - LK/2024/III/001 - 15 Feb - 28 Feb 2024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</si>
</sst>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_-&quot;Rp&quot;* #,##0_-;\-&quot;Rp&quot;* #,##0_-;_-&quot;Rp&quot;* &quot;-&quot;??_-;_-@_-"/>
    <numFmt numFmtId="177" formatCode="_-* #,##0.00_-;\-* #,##0.00_-;_-* &quot;-&quot;??_-;_-@_-"/>
    <numFmt numFmtId="178" formatCode="_-&quot;Rp&quot;* #,##0.00_-;\-&quot;Rp&quot;* #,##0.00_-;_-&quot;Rp&quot;* &quot;-&quot;??_-;_-@_-"/>
    <numFmt numFmtId="179" formatCode="_-* #,##0.00_-;\-* #,##0.00_-;_-* &quot;-&quot;_-;_-@_-"/>
    <numFmt numFmtId="180" formatCode="_-&quot;Rp&quot;* #,##0.00_-;\-&quot;Rp&quot;* #,##0.00"/>
    <numFmt numFmtId="181" formatCode="dd\-mmm\-yy"/>
    <numFmt numFmtId="182" formatCode="&quot;Rp&quot;#,##0.00"/>
  </numFmts>
  <fonts count="67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b/>
      <sz val="12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1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3"/>
      <color rgb="FF0000FF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u/>
      <sz val="13"/>
      <color rgb="FFFF0000"/>
      <name val="Comic Sans MS"/>
      <charset val="134"/>
    </font>
    <font>
      <b/>
      <sz val="13"/>
      <color indexed="10"/>
      <name val="Comic Sans MS"/>
      <charset val="134"/>
    </font>
    <font>
      <b/>
      <strike/>
      <sz val="13"/>
      <color indexed="10"/>
      <name val="Comic Sans MS"/>
      <charset val="134"/>
    </font>
    <font>
      <sz val="13"/>
      <color rgb="FF0000FF"/>
      <name val="Comic Sans MS"/>
      <charset val="134"/>
    </font>
    <font>
      <u/>
      <sz val="12"/>
      <color rgb="FFFF0000"/>
      <name val="Comic Sans MS"/>
      <charset val="134"/>
    </font>
    <font>
      <u/>
      <sz val="12"/>
      <color theme="1"/>
      <name val="Comic Sans MS"/>
      <charset val="134"/>
    </font>
    <font>
      <u/>
      <sz val="12"/>
      <color rgb="FF0000FF"/>
      <name val="Comic Sans MS"/>
      <charset val="134"/>
    </font>
    <font>
      <sz val="12"/>
      <color rgb="FF0070C0"/>
      <name val="Comic Sans MS"/>
      <charset val="134"/>
    </font>
    <font>
      <b/>
      <strike/>
      <sz val="12"/>
      <color indexed="10"/>
      <name val="Comic Sans MS"/>
      <charset val="134"/>
    </font>
    <font>
      <sz val="13"/>
      <color indexed="10"/>
      <name val="Comic Sans MS"/>
      <charset val="134"/>
    </font>
    <font>
      <b/>
      <sz val="12"/>
      <color indexed="10"/>
      <name val="Comic Sans MS"/>
      <charset val="134"/>
    </font>
    <font>
      <b/>
      <u/>
      <sz val="12"/>
      <color theme="1"/>
      <name val="Comic Sans MS"/>
      <charset val="134"/>
    </font>
    <font>
      <sz val="12"/>
      <color rgb="FF0000FF"/>
      <name val="Comic Sans MS"/>
      <charset val="134"/>
    </font>
    <font>
      <sz val="12"/>
      <color indexed="10"/>
      <name val="Comic Sans MS"/>
      <charset val="134"/>
    </font>
    <font>
      <b/>
      <u/>
      <sz val="11"/>
      <color theme="1"/>
      <name val="Comic Sans MS"/>
      <charset val="134"/>
    </font>
    <font>
      <b/>
      <strike/>
      <sz val="11"/>
      <color indexed="10"/>
      <name val="Comic Sans MS"/>
      <charset val="134"/>
    </font>
    <font>
      <b/>
      <i/>
      <sz val="11"/>
      <color rgb="FFFF0000"/>
      <name val="Comic Sans MS"/>
      <charset val="134"/>
    </font>
    <font>
      <sz val="11"/>
      <color indexed="10"/>
      <name val="Comic Sans MS"/>
      <charset val="134"/>
    </font>
    <font>
      <b/>
      <i/>
      <sz val="12"/>
      <color rgb="FFFF0000"/>
      <name val="Comic Sans MS"/>
      <charset val="134"/>
    </font>
    <font>
      <sz val="12"/>
      <color rgb="FFFF0000"/>
      <name val="Comic Sans MS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13" borderId="37" applyNumberFormat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0" fillId="9" borderId="34" applyNumberFormat="0" applyFont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21" borderId="35" applyNumberFormat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4" fillId="11" borderId="36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3" fillId="11" borderId="35" applyNumberFormat="0" applyAlignment="0" applyProtection="0">
      <alignment vertical="center"/>
    </xf>
    <xf numFmtId="0" fontId="64" fillId="0" borderId="40" applyNumberFormat="0" applyFill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</cellStyleXfs>
  <cellXfs count="3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177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13" xfId="0" applyFont="1" applyBorder="1"/>
    <xf numFmtId="0" fontId="8" fillId="0" borderId="14" xfId="0" applyFont="1" applyBorder="1"/>
    <xf numFmtId="0" fontId="9" fillId="0" borderId="10" xfId="0" applyFont="1" applyBorder="1" applyAlignment="1">
      <alignment horizontal="left"/>
    </xf>
    <xf numFmtId="178" fontId="7" fillId="0" borderId="15" xfId="3" applyNumberFormat="1" applyFont="1" applyBorder="1"/>
    <xf numFmtId="0" fontId="6" fillId="0" borderId="3" xfId="0" applyFont="1" applyBorder="1"/>
    <xf numFmtId="0" fontId="2" fillId="0" borderId="14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14" xfId="0" applyFont="1" applyBorder="1"/>
    <xf numFmtId="0" fontId="9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left" vertical="top"/>
    </xf>
    <xf numFmtId="0" fontId="6" fillId="0" borderId="15" xfId="0" applyFont="1" applyBorder="1"/>
    <xf numFmtId="0" fontId="7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178" fontId="6" fillId="0" borderId="16" xfId="3" applyNumberFormat="1" applyFont="1" applyBorder="1"/>
    <xf numFmtId="0" fontId="6" fillId="0" borderId="16" xfId="0" applyFont="1" applyBorder="1"/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178" fontId="7" fillId="0" borderId="15" xfId="0" applyNumberFormat="1" applyFont="1" applyBorder="1"/>
    <xf numFmtId="0" fontId="7" fillId="0" borderId="19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178" fontId="7" fillId="0" borderId="19" xfId="0" applyNumberFormat="1" applyFont="1" applyBorder="1"/>
    <xf numFmtId="0" fontId="6" fillId="0" borderId="19" xfId="0" applyFont="1" applyBorder="1"/>
    <xf numFmtId="0" fontId="6" fillId="0" borderId="6" xfId="0" applyFont="1" applyBorder="1"/>
    <xf numFmtId="0" fontId="9" fillId="0" borderId="17" xfId="0" applyFont="1" applyBorder="1" applyAlignment="1">
      <alignment horizontal="left"/>
    </xf>
    <xf numFmtId="0" fontId="6" fillId="0" borderId="18" xfId="0" applyFont="1" applyBorder="1"/>
    <xf numFmtId="0" fontId="11" fillId="0" borderId="7" xfId="0" applyFont="1" applyBorder="1" applyAlignment="1">
      <alignment horizontal="left"/>
    </xf>
    <xf numFmtId="0" fontId="6" fillId="0" borderId="9" xfId="0" applyFont="1" applyBorder="1"/>
    <xf numFmtId="0" fontId="7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left" vertical="center"/>
    </xf>
    <xf numFmtId="178" fontId="6" fillId="0" borderId="21" xfId="0" applyNumberFormat="1" applyFont="1" applyBorder="1"/>
    <xf numFmtId="0" fontId="6" fillId="0" borderId="22" xfId="0" applyFont="1" applyBorder="1"/>
    <xf numFmtId="0" fontId="10" fillId="0" borderId="20" xfId="0" applyFont="1" applyBorder="1" applyAlignment="1">
      <alignment horizontal="center"/>
    </xf>
    <xf numFmtId="0" fontId="10" fillId="0" borderId="21" xfId="0" applyFont="1" applyBorder="1"/>
    <xf numFmtId="0" fontId="13" fillId="0" borderId="21" xfId="0" applyFont="1" applyBorder="1" applyAlignment="1">
      <alignment horizontal="right"/>
    </xf>
    <xf numFmtId="179" fontId="13" fillId="0" borderId="21" xfId="3" applyNumberFormat="1" applyFont="1" applyBorder="1"/>
    <xf numFmtId="4" fontId="7" fillId="0" borderId="22" xfId="0" applyNumberFormat="1" applyFont="1" applyBorder="1"/>
    <xf numFmtId="0" fontId="10" fillId="0" borderId="23" xfId="0" applyFont="1" applyBorder="1" applyAlignment="1">
      <alignment horizontal="center"/>
    </xf>
    <xf numFmtId="0" fontId="10" fillId="0" borderId="24" xfId="0" applyFont="1" applyBorder="1"/>
    <xf numFmtId="0" fontId="13" fillId="0" borderId="24" xfId="0" applyFont="1" applyBorder="1" applyAlignment="1">
      <alignment horizontal="right"/>
    </xf>
    <xf numFmtId="179" fontId="13" fillId="0" borderId="24" xfId="3" applyNumberFormat="1" applyFont="1" applyBorder="1"/>
    <xf numFmtId="4" fontId="7" fillId="0" borderId="25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80" fontId="2" fillId="0" borderId="3" xfId="3" applyNumberFormat="1" applyFont="1" applyBorder="1" applyAlignment="1">
      <alignment horizontal="right"/>
    </xf>
    <xf numFmtId="0" fontId="1" fillId="0" borderId="12" xfId="0" applyFont="1" applyBorder="1"/>
    <xf numFmtId="0" fontId="14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41" fontId="15" fillId="0" borderId="12" xfId="3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180" fontId="4" fillId="0" borderId="12" xfId="0" applyNumberFormat="1" applyFont="1" applyBorder="1" applyAlignment="1">
      <alignment horizontal="right"/>
    </xf>
    <xf numFmtId="180" fontId="4" fillId="0" borderId="12" xfId="0" applyNumberFormat="1" applyFont="1" applyBorder="1"/>
    <xf numFmtId="181" fontId="1" fillId="0" borderId="13" xfId="0" applyNumberFormat="1" applyFont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181" fontId="6" fillId="0" borderId="13" xfId="0" applyNumberFormat="1" applyFont="1" applyBorder="1" applyAlignment="1">
      <alignment horizontal="center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178" fontId="18" fillId="0" borderId="12" xfId="0" applyNumberFormat="1" applyFont="1" applyBorder="1" applyAlignment="1">
      <alignment horizontal="right" vertical="center" wrapText="1"/>
    </xf>
    <xf numFmtId="178" fontId="18" fillId="0" borderId="12" xfId="0" applyNumberFormat="1" applyFont="1" applyBorder="1"/>
    <xf numFmtId="0" fontId="15" fillId="0" borderId="10" xfId="0" applyFont="1" applyBorder="1" applyAlignment="1">
      <alignment horizontal="left"/>
    </xf>
    <xf numFmtId="178" fontId="19" fillId="0" borderId="12" xfId="0" applyNumberFormat="1" applyFont="1" applyBorder="1"/>
    <xf numFmtId="0" fontId="20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78" fontId="21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22" fillId="3" borderId="12" xfId="0" applyNumberFormat="1" applyFont="1" applyFill="1" applyBorder="1"/>
    <xf numFmtId="0" fontId="3" fillId="0" borderId="12" xfId="0" applyFont="1" applyBorder="1"/>
    <xf numFmtId="0" fontId="10" fillId="0" borderId="20" xfId="0" applyFont="1" applyBorder="1"/>
    <xf numFmtId="0" fontId="10" fillId="0" borderId="22" xfId="0" applyFont="1" applyBorder="1"/>
    <xf numFmtId="0" fontId="7" fillId="0" borderId="23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177" fontId="7" fillId="0" borderId="24" xfId="0" applyNumberFormat="1" applyFont="1" applyBorder="1"/>
    <xf numFmtId="177" fontId="7" fillId="0" borderId="25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5" fillId="0" borderId="9" xfId="0" applyNumberFormat="1" applyFont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0" borderId="7" xfId="0" applyFont="1" applyBorder="1"/>
    <xf numFmtId="0" fontId="10" fillId="0" borderId="8" xfId="0" applyFont="1" applyBorder="1"/>
    <xf numFmtId="0" fontId="1" fillId="0" borderId="9" xfId="0" applyFont="1" applyBorder="1"/>
    <xf numFmtId="0" fontId="10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center" vertical="center" wrapText="1"/>
    </xf>
    <xf numFmtId="4" fontId="24" fillId="0" borderId="0" xfId="2" applyNumberFormat="1" applyFont="1" applyFill="1" applyAlignment="1">
      <alignment horizontal="right" vertical="center" wrapText="1"/>
    </xf>
    <xf numFmtId="4" fontId="25" fillId="0" borderId="0" xfId="2" applyNumberFormat="1" applyFont="1" applyAlignment="1">
      <alignment vertical="center" wrapText="1"/>
    </xf>
    <xf numFmtId="4" fontId="25" fillId="0" borderId="0" xfId="2" applyNumberFormat="1" applyFont="1" applyFill="1" applyAlignment="1">
      <alignment horizontal="right" vertical="center" wrapText="1"/>
    </xf>
    <xf numFmtId="4" fontId="26" fillId="0" borderId="0" xfId="2" applyNumberFormat="1" applyFont="1" applyAlignment="1">
      <alignment vertical="center" wrapText="1"/>
    </xf>
    <xf numFmtId="4" fontId="26" fillId="0" borderId="0" xfId="2" applyNumberFormat="1" applyFont="1" applyFill="1" applyAlignment="1">
      <alignment horizontal="right" vertical="center" wrapText="1"/>
    </xf>
    <xf numFmtId="10" fontId="23" fillId="0" borderId="0" xfId="0" applyNumberFormat="1" applyFont="1" applyAlignment="1">
      <alignment vertical="center"/>
    </xf>
    <xf numFmtId="4" fontId="26" fillId="0" borderId="0" xfId="2" applyNumberFormat="1" applyFont="1" applyFill="1" applyAlignment="1">
      <alignment vertical="center" wrapText="1"/>
    </xf>
    <xf numFmtId="178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7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1" fillId="0" borderId="16" xfId="0" applyFont="1" applyBorder="1"/>
    <xf numFmtId="0" fontId="15" fillId="0" borderId="26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" fillId="0" borderId="19" xfId="0" applyFont="1" applyBorder="1"/>
    <xf numFmtId="0" fontId="10" fillId="0" borderId="7" xfId="0" applyFont="1" applyBorder="1" applyAlignment="1">
      <alignment horizontal="left"/>
    </xf>
    <xf numFmtId="0" fontId="13" fillId="0" borderId="11" xfId="0" applyFon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" fillId="0" borderId="0" xfId="0" applyFont="1" applyAlignment="1">
      <alignment wrapText="1"/>
    </xf>
    <xf numFmtId="0" fontId="7" fillId="0" borderId="13" xfId="0" applyFont="1" applyBorder="1" applyAlignment="1">
      <alignment horizont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78" fontId="7" fillId="0" borderId="13" xfId="0" applyNumberFormat="1" applyFont="1" applyBorder="1"/>
    <xf numFmtId="0" fontId="10" fillId="0" borderId="1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78" fontId="4" fillId="0" borderId="12" xfId="0" applyNumberFormat="1" applyFont="1" applyBorder="1" applyAlignment="1">
      <alignment horizontal="right" vertical="center" wrapText="1"/>
    </xf>
    <xf numFmtId="178" fontId="4" fillId="0" borderId="12" xfId="0" applyNumberFormat="1" applyFont="1" applyBorder="1"/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0" borderId="1" xfId="0" applyFont="1" applyBorder="1"/>
    <xf numFmtId="4" fontId="27" fillId="0" borderId="3" xfId="0" applyNumberFormat="1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2" fontId="6" fillId="0" borderId="8" xfId="0" applyNumberFormat="1" applyFont="1" applyBorder="1"/>
    <xf numFmtId="2" fontId="6" fillId="0" borderId="11" xfId="3" applyNumberFormat="1" applyFont="1" applyBorder="1"/>
    <xf numFmtId="4" fontId="6" fillId="0" borderId="11" xfId="0" applyNumberFormat="1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6" fillId="0" borderId="8" xfId="0" applyNumberFormat="1" applyFont="1" applyBorder="1"/>
    <xf numFmtId="0" fontId="12" fillId="0" borderId="11" xfId="0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2" fillId="0" borderId="28" xfId="0" applyFont="1" applyBorder="1" applyAlignment="1">
      <alignment vertical="center"/>
    </xf>
    <xf numFmtId="4" fontId="6" fillId="0" borderId="28" xfId="0" applyNumberFormat="1" applyFont="1" applyBorder="1"/>
    <xf numFmtId="0" fontId="7" fillId="0" borderId="8" xfId="0" applyFont="1" applyBorder="1" applyAlignment="1">
      <alignment horizontal="center"/>
    </xf>
    <xf numFmtId="0" fontId="6" fillId="0" borderId="8" xfId="0" applyFont="1" applyBorder="1"/>
    <xf numFmtId="0" fontId="7" fillId="0" borderId="11" xfId="0" applyFont="1" applyBorder="1" applyAlignment="1">
      <alignment horizontal="center"/>
    </xf>
    <xf numFmtId="181" fontId="6" fillId="0" borderId="10" xfId="0" applyNumberFormat="1" applyFont="1" applyBorder="1" applyAlignment="1">
      <alignment horizontal="center"/>
    </xf>
    <xf numFmtId="0" fontId="13" fillId="0" borderId="11" xfId="0" applyFont="1" applyBorder="1" applyAlignment="1">
      <alignment vertical="center"/>
    </xf>
    <xf numFmtId="4" fontId="13" fillId="0" borderId="11" xfId="0" applyNumberFormat="1" applyFont="1" applyBorder="1" applyAlignment="1">
      <alignment horizontal="right" vertical="center" wrapText="1"/>
    </xf>
    <xf numFmtId="4" fontId="17" fillId="0" borderId="11" xfId="0" applyNumberFormat="1" applyFont="1" applyBorder="1" applyAlignment="1">
      <alignment horizontal="right" vertical="center" wrapText="1"/>
    </xf>
    <xf numFmtId="2" fontId="6" fillId="0" borderId="11" xfId="0" applyNumberFormat="1" applyFont="1" applyBorder="1"/>
    <xf numFmtId="0" fontId="3" fillId="0" borderId="10" xfId="0" applyFont="1" applyBorder="1"/>
    <xf numFmtId="0" fontId="2" fillId="0" borderId="11" xfId="0" applyFont="1" applyBorder="1" applyAlignment="1">
      <alignment horizontal="right"/>
    </xf>
    <xf numFmtId="4" fontId="22" fillId="3" borderId="11" xfId="0" applyNumberFormat="1" applyFont="1" applyFill="1" applyBorder="1"/>
    <xf numFmtId="0" fontId="6" fillId="0" borderId="29" xfId="0" applyFont="1" applyBorder="1"/>
    <xf numFmtId="0" fontId="6" fillId="0" borderId="21" xfId="0" applyFont="1" applyBorder="1" applyAlignment="1">
      <alignment horizontal="center"/>
    </xf>
    <xf numFmtId="0" fontId="12" fillId="0" borderId="21" xfId="0" applyFont="1" applyBorder="1" applyAlignment="1">
      <alignment vertical="center"/>
    </xf>
    <xf numFmtId="4" fontId="6" fillId="0" borderId="21" xfId="0" applyNumberFormat="1" applyFont="1" applyBorder="1"/>
    <xf numFmtId="0" fontId="28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wrapText="1"/>
    </xf>
    <xf numFmtId="4" fontId="29" fillId="0" borderId="11" xfId="0" applyNumberFormat="1" applyFont="1" applyBorder="1" applyAlignment="1">
      <alignment horizontal="right" vertical="center" wrapText="1"/>
    </xf>
    <xf numFmtId="4" fontId="27" fillId="0" borderId="12" xfId="0" applyNumberFormat="1" applyFont="1" applyBorder="1"/>
    <xf numFmtId="0" fontId="6" fillId="0" borderId="10" xfId="0" applyFont="1" applyBorder="1" applyAlignment="1">
      <alignment horizontal="center"/>
    </xf>
    <xf numFmtId="179" fontId="6" fillId="0" borderId="11" xfId="3" applyNumberFormat="1" applyFont="1" applyBorder="1"/>
    <xf numFmtId="0" fontId="6" fillId="0" borderId="30" xfId="0" applyFont="1" applyBorder="1" applyAlignment="1">
      <alignment horizontal="center"/>
    </xf>
    <xf numFmtId="0" fontId="6" fillId="0" borderId="31" xfId="0" applyFont="1" applyBorder="1"/>
    <xf numFmtId="0" fontId="13" fillId="0" borderId="31" xfId="0" applyFont="1" applyBorder="1" applyAlignment="1">
      <alignment horizontal="right"/>
    </xf>
    <xf numFmtId="179" fontId="13" fillId="0" borderId="31" xfId="3" applyNumberFormat="1" applyFont="1" applyBorder="1"/>
    <xf numFmtId="4" fontId="7" fillId="0" borderId="32" xfId="0" applyNumberFormat="1" applyFont="1" applyBorder="1"/>
    <xf numFmtId="0" fontId="30" fillId="0" borderId="11" xfId="0" applyFont="1" applyBorder="1" applyAlignment="1">
      <alignment vertical="center"/>
    </xf>
    <xf numFmtId="4" fontId="30" fillId="0" borderId="11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6" fillId="0" borderId="20" xfId="0" applyFont="1" applyBorder="1"/>
    <xf numFmtId="0" fontId="6" fillId="0" borderId="21" xfId="0" applyFont="1" applyBorder="1"/>
    <xf numFmtId="0" fontId="29" fillId="0" borderId="0" xfId="0" applyFont="1" applyAlignment="1">
      <alignment horizontal="left" vertical="center" wrapText="1"/>
    </xf>
    <xf numFmtId="4" fontId="28" fillId="0" borderId="1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0" fillId="0" borderId="10" xfId="0" applyFont="1" applyBorder="1"/>
    <xf numFmtId="0" fontId="10" fillId="0" borderId="11" xfId="0" applyFont="1" applyBorder="1"/>
    <xf numFmtId="4" fontId="31" fillId="0" borderId="12" xfId="0" applyNumberFormat="1" applyFont="1" applyBorder="1"/>
    <xf numFmtId="0" fontId="14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/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2" fontId="10" fillId="0" borderId="11" xfId="0" applyNumberFormat="1" applyFont="1" applyBorder="1"/>
    <xf numFmtId="179" fontId="10" fillId="0" borderId="11" xfId="3" applyNumberFormat="1" applyFont="1" applyBorder="1"/>
    <xf numFmtId="4" fontId="10" fillId="0" borderId="11" xfId="0" applyNumberFormat="1" applyFont="1" applyBorder="1"/>
    <xf numFmtId="0" fontId="14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left"/>
    </xf>
    <xf numFmtId="0" fontId="10" fillId="0" borderId="28" xfId="0" applyFont="1" applyBorder="1"/>
    <xf numFmtId="0" fontId="1" fillId="0" borderId="28" xfId="0" applyFont="1" applyBorder="1"/>
    <xf numFmtId="0" fontId="10" fillId="0" borderId="29" xfId="0" applyFont="1" applyBorder="1"/>
    <xf numFmtId="0" fontId="32" fillId="0" borderId="30" xfId="0" applyFont="1" applyBorder="1" applyAlignment="1">
      <alignment horizontal="center"/>
    </xf>
    <xf numFmtId="0" fontId="32" fillId="0" borderId="31" xfId="0" applyFont="1" applyBorder="1"/>
    <xf numFmtId="0" fontId="33" fillId="0" borderId="31" xfId="0" applyFont="1" applyBorder="1" applyAlignment="1">
      <alignment horizontal="right"/>
    </xf>
    <xf numFmtId="179" fontId="33" fillId="0" borderId="31" xfId="3" applyNumberFormat="1" applyFont="1" applyBorder="1"/>
    <xf numFmtId="4" fontId="32" fillId="0" borderId="32" xfId="0" applyNumberFormat="1" applyFont="1" applyBorder="1"/>
    <xf numFmtId="0" fontId="10" fillId="0" borderId="4" xfId="0" applyFont="1" applyBorder="1"/>
    <xf numFmtId="0" fontId="10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0" fillId="0" borderId="9" xfId="0" applyFont="1" applyBorder="1"/>
    <xf numFmtId="0" fontId="14" fillId="0" borderId="11" xfId="0" applyFont="1" applyBorder="1" applyAlignment="1">
      <alignment horizontal="center"/>
    </xf>
    <xf numFmtId="181" fontId="10" fillId="0" borderId="10" xfId="0" applyNumberFormat="1" applyFont="1" applyBorder="1" applyAlignment="1">
      <alignment horizontal="center"/>
    </xf>
    <xf numFmtId="0" fontId="34" fillId="0" borderId="11" xfId="0" applyFont="1" applyBorder="1"/>
    <xf numFmtId="0" fontId="35" fillId="0" borderId="11" xfId="0" applyFont="1" applyBorder="1" applyAlignment="1">
      <alignment horizontal="left" vertical="center" wrapText="1"/>
    </xf>
    <xf numFmtId="4" fontId="35" fillId="0" borderId="11" xfId="0" applyNumberFormat="1" applyFont="1" applyBorder="1" applyAlignment="1">
      <alignment horizontal="right" vertical="center" wrapText="1"/>
    </xf>
    <xf numFmtId="4" fontId="36" fillId="0" borderId="11" xfId="0" applyNumberFormat="1" applyFont="1" applyBorder="1" applyAlignment="1">
      <alignment horizontal="right" vertical="center" wrapText="1"/>
    </xf>
    <xf numFmtId="4" fontId="37" fillId="0" borderId="11" xfId="0" applyNumberFormat="1" applyFont="1" applyBorder="1" applyAlignment="1">
      <alignment horizontal="right" vertical="center" wrapText="1"/>
    </xf>
    <xf numFmtId="0" fontId="37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right"/>
    </xf>
    <xf numFmtId="0" fontId="1" fillId="0" borderId="11" xfId="0" applyFont="1" applyBorder="1"/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right"/>
    </xf>
    <xf numFmtId="177" fontId="10" fillId="0" borderId="24" xfId="0" applyNumberFormat="1" applyFont="1" applyBorder="1"/>
    <xf numFmtId="177" fontId="10" fillId="0" borderId="25" xfId="0" applyNumberFormat="1" applyFont="1" applyBorder="1"/>
    <xf numFmtId="0" fontId="38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4" fillId="0" borderId="4" xfId="0" applyFont="1" applyBorder="1"/>
    <xf numFmtId="0" fontId="14" fillId="0" borderId="0" xfId="0" applyFont="1" applyAlignment="1">
      <alignment horizontal="center" vertical="center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left" vertic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0" borderId="1" xfId="0" applyFont="1" applyBorder="1"/>
    <xf numFmtId="4" fontId="31" fillId="0" borderId="3" xfId="0" applyNumberFormat="1" applyFont="1" applyBorder="1"/>
    <xf numFmtId="0" fontId="14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2" fontId="10" fillId="0" borderId="0" xfId="3" applyNumberFormat="1" applyFont="1" applyBorder="1"/>
    <xf numFmtId="4" fontId="10" fillId="0" borderId="0" xfId="0" applyNumberFormat="1" applyFont="1"/>
    <xf numFmtId="0" fontId="39" fillId="0" borderId="0" xfId="0" applyFont="1" applyAlignment="1">
      <alignment horizontal="right"/>
    </xf>
    <xf numFmtId="0" fontId="39" fillId="0" borderId="0" xfId="0" applyFont="1"/>
    <xf numFmtId="179" fontId="39" fillId="0" borderId="0" xfId="3" applyNumberFormat="1" applyFont="1" applyBorder="1"/>
    <xf numFmtId="4" fontId="10" fillId="0" borderId="6" xfId="0" applyNumberFormat="1" applyFont="1" applyBorder="1"/>
    <xf numFmtId="0" fontId="14" fillId="0" borderId="0" xfId="0" applyFont="1" applyAlignment="1">
      <alignment horizontal="center"/>
    </xf>
    <xf numFmtId="181" fontId="10" fillId="0" borderId="4" xfId="0" applyNumberFormat="1" applyFont="1" applyBorder="1" applyAlignment="1">
      <alignment horizontal="center"/>
    </xf>
    <xf numFmtId="4" fontId="30" fillId="0" borderId="0" xfId="0" applyNumberFormat="1" applyFont="1" applyAlignment="1">
      <alignment horizontal="right" vertical="center" wrapText="1"/>
    </xf>
    <xf numFmtId="0" fontId="35" fillId="0" borderId="0" xfId="0" applyFont="1" applyAlignment="1">
      <alignment horizontal="left" vertical="center" wrapText="1"/>
    </xf>
    <xf numFmtId="4" fontId="29" fillId="0" borderId="0" xfId="0" applyNumberFormat="1" applyFont="1" applyAlignment="1">
      <alignment horizontal="right" vertical="center" wrapText="1"/>
    </xf>
    <xf numFmtId="4" fontId="35" fillId="0" borderId="0" xfId="0" applyNumberFormat="1" applyFont="1" applyAlignment="1">
      <alignment horizontal="right" vertical="center" wrapText="1"/>
    </xf>
    <xf numFmtId="4" fontId="36" fillId="0" borderId="0" xfId="0" applyNumberFormat="1" applyFont="1" applyAlignment="1">
      <alignment horizontal="right" vertical="center" wrapText="1"/>
    </xf>
    <xf numFmtId="4" fontId="40" fillId="0" borderId="0" xfId="0" applyNumberFormat="1" applyFont="1" applyAlignment="1">
      <alignment horizontal="right" vertical="center" wrapText="1"/>
    </xf>
    <xf numFmtId="0" fontId="40" fillId="0" borderId="0" xfId="0" applyFont="1" applyAlignment="1">
      <alignment horizontal="left" vertical="center" wrapText="1"/>
    </xf>
    <xf numFmtId="2" fontId="10" fillId="0" borderId="21" xfId="0" applyNumberFormat="1" applyFont="1" applyBorder="1"/>
    <xf numFmtId="0" fontId="14" fillId="0" borderId="0" xfId="0" applyFont="1" applyAlignment="1">
      <alignment horizontal="right"/>
    </xf>
    <xf numFmtId="4" fontId="41" fillId="0" borderId="0" xfId="0" applyNumberFormat="1" applyFont="1"/>
    <xf numFmtId="2" fontId="14" fillId="0" borderId="6" xfId="0" applyNumberFormat="1" applyFont="1" applyBorder="1" applyAlignment="1">
      <alignment horizontal="left"/>
    </xf>
    <xf numFmtId="179" fontId="10" fillId="0" borderId="0" xfId="3" applyNumberFormat="1" applyFont="1" applyBorder="1"/>
    <xf numFmtId="179" fontId="10" fillId="0" borderId="0" xfId="0" applyNumberFormat="1" applyFont="1"/>
    <xf numFmtId="4" fontId="41" fillId="5" borderId="0" xfId="0" applyNumberFormat="1" applyFont="1" applyFill="1"/>
    <xf numFmtId="0" fontId="42" fillId="0" borderId="0" xfId="0" applyFont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2" fontId="41" fillId="5" borderId="0" xfId="0" applyNumberFormat="1" applyFont="1" applyFill="1"/>
    <xf numFmtId="0" fontId="45" fillId="0" borderId="0" xfId="0" applyFont="1" applyAlignment="1">
      <alignment horizontal="left" vertical="center" wrapText="1"/>
    </xf>
    <xf numFmtId="4" fontId="39" fillId="0" borderId="0" xfId="0" applyNumberFormat="1" applyFont="1" applyAlignment="1">
      <alignment horizontal="right" vertical="center" wrapText="1"/>
    </xf>
    <xf numFmtId="2" fontId="38" fillId="5" borderId="0" xfId="0" applyNumberFormat="1" applyFont="1" applyFill="1"/>
    <xf numFmtId="0" fontId="46" fillId="0" borderId="0" xfId="0" applyFont="1"/>
    <xf numFmtId="179" fontId="38" fillId="5" borderId="0" xfId="3" applyNumberFormat="1" applyFont="1" applyFill="1" applyBorder="1"/>
    <xf numFmtId="182" fontId="14" fillId="0" borderId="6" xfId="0" applyNumberFormat="1" applyFont="1" applyBorder="1" applyAlignment="1">
      <alignment horizontal="left"/>
    </xf>
    <xf numFmtId="4" fontId="4" fillId="0" borderId="2" xfId="0" applyNumberFormat="1" applyFont="1" applyBorder="1" applyAlignment="1">
      <alignment horizontal="left" vertical="center" wrapText="1"/>
    </xf>
    <xf numFmtId="2" fontId="39" fillId="0" borderId="0" xfId="0" applyNumberFormat="1" applyFont="1"/>
    <xf numFmtId="179" fontId="46" fillId="0" borderId="0" xfId="3" applyNumberFormat="1" applyFont="1" applyFill="1" applyBorder="1"/>
    <xf numFmtId="0" fontId="14" fillId="0" borderId="4" xfId="0" applyFont="1" applyBorder="1" applyAlignment="1">
      <alignment horizontal="right"/>
    </xf>
    <xf numFmtId="177" fontId="10" fillId="0" borderId="0" xfId="0" applyNumberFormat="1" applyFont="1"/>
    <xf numFmtId="177" fontId="10" fillId="0" borderId="6" xfId="0" applyNumberFormat="1" applyFont="1" applyBorder="1"/>
    <xf numFmtId="0" fontId="38" fillId="0" borderId="4" xfId="0" applyFont="1" applyBorder="1"/>
    <xf numFmtId="2" fontId="14" fillId="5" borderId="0" xfId="0" applyNumberFormat="1" applyFont="1" applyFill="1" applyAlignment="1">
      <alignment horizontal="left"/>
    </xf>
    <xf numFmtId="0" fontId="14" fillId="0" borderId="0" xfId="0" applyFont="1"/>
    <xf numFmtId="4" fontId="24" fillId="0" borderId="8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/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customXml" Target="../customXml/item1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comments" Target="../comments5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comments" Target="../comments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comments" Target="../comments52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comments" Target="../comments5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comments" Target="../comments5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7"/>
  <sheetViews>
    <sheetView workbookViewId="0">
      <selection activeCell="E21" sqref="E21:G2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312" t="s">
        <v>2</v>
      </c>
      <c r="F4" s="215" t="s">
        <v>3</v>
      </c>
      <c r="G4" s="216"/>
      <c r="H4" s="9">
        <f>+E35</f>
        <v>684614896.23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G25</f>
        <v>3630500</v>
      </c>
      <c r="I5" s="10"/>
    </row>
    <row r="6" ht="22.5" spans="2:9">
      <c r="B6" s="5"/>
      <c r="C6" s="11" t="s">
        <v>7</v>
      </c>
      <c r="D6" s="12" t="s">
        <v>1</v>
      </c>
      <c r="E6" s="15" t="s">
        <v>8</v>
      </c>
      <c r="F6" s="217" t="s">
        <v>9</v>
      </c>
      <c r="G6" s="218"/>
      <c r="H6" s="14">
        <f>H4-H5</f>
        <v>680984396.23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0.994697018688912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684614896.23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6"/>
      <c r="F15" s="130"/>
      <c r="G15" s="130"/>
      <c r="H15" s="244"/>
      <c r="I15" s="10"/>
    </row>
    <row r="16" ht="19.5" spans="2:9">
      <c r="B16" s="5"/>
      <c r="C16" s="277"/>
      <c r="D16" s="130"/>
      <c r="E16" s="282" t="s">
        <v>18</v>
      </c>
      <c r="F16" s="283"/>
      <c r="G16" s="313">
        <v>0</v>
      </c>
      <c r="H16" s="285">
        <f>H10-G16</f>
        <v>684614896.23</v>
      </c>
      <c r="I16" s="10"/>
    </row>
    <row r="17" ht="19.5" spans="2:9">
      <c r="B17" s="5"/>
      <c r="C17" s="243"/>
      <c r="D17" s="130"/>
      <c r="E17" s="130"/>
      <c r="F17" s="130"/>
      <c r="G17" s="130"/>
      <c r="H17" s="244"/>
      <c r="I17" s="10"/>
    </row>
    <row r="18" ht="19.5" spans="2:9">
      <c r="B18" s="5"/>
      <c r="C18" s="275" t="s">
        <v>19</v>
      </c>
      <c r="D18" s="286"/>
      <c r="E18" s="286"/>
      <c r="F18" s="130"/>
      <c r="G18" s="130"/>
      <c r="H18" s="244"/>
      <c r="I18" s="10"/>
    </row>
    <row r="19" ht="19.5" spans="2:9">
      <c r="B19" s="5"/>
      <c r="C19" s="275" t="s">
        <v>20</v>
      </c>
      <c r="D19" s="286" t="s">
        <v>21</v>
      </c>
      <c r="E19" s="286" t="s">
        <v>22</v>
      </c>
      <c r="F19" s="130"/>
      <c r="G19" s="130"/>
      <c r="H19" s="244"/>
      <c r="I19" s="10"/>
    </row>
    <row r="20" ht="19.5" spans="2:9">
      <c r="B20" s="5"/>
      <c r="C20" s="287">
        <v>44712</v>
      </c>
      <c r="D20" s="276" t="s">
        <v>23</v>
      </c>
      <c r="E20" s="283" t="s">
        <v>2</v>
      </c>
      <c r="F20" s="283"/>
      <c r="G20" s="284">
        <v>3630500</v>
      </c>
      <c r="H20" s="244"/>
      <c r="I20" s="10"/>
    </row>
    <row r="21" ht="19.5" spans="2:9">
      <c r="B21" s="5"/>
      <c r="C21" s="287">
        <v>44673</v>
      </c>
      <c r="D21" s="276"/>
      <c r="E21" s="309" t="s">
        <v>24</v>
      </c>
      <c r="F21" s="309"/>
      <c r="G21" s="314">
        <v>3630500</v>
      </c>
      <c r="H21" s="244"/>
      <c r="I21" s="10"/>
    </row>
    <row r="22" ht="20.25" spans="2:9">
      <c r="B22" s="5"/>
      <c r="C22" s="243"/>
      <c r="D22" s="130"/>
      <c r="E22" s="130"/>
      <c r="F22" s="130"/>
      <c r="G22" s="295">
        <v>0</v>
      </c>
      <c r="H22" s="244"/>
      <c r="I22" s="10"/>
    </row>
    <row r="23" ht="20.25" spans="2:9">
      <c r="B23" s="5"/>
      <c r="C23" s="243"/>
      <c r="D23" s="130"/>
      <c r="E23" s="296" t="s">
        <v>25</v>
      </c>
      <c r="F23" s="130"/>
      <c r="G23" s="308">
        <f>G20-SUM(G21:G22)</f>
        <v>0</v>
      </c>
      <c r="H23" s="244"/>
      <c r="I23" s="10"/>
    </row>
    <row r="24" ht="20.25" spans="2:9">
      <c r="B24" s="5"/>
      <c r="C24" s="109"/>
      <c r="D24" s="66"/>
      <c r="E24" s="66"/>
      <c r="F24" s="66"/>
      <c r="G24" s="66"/>
      <c r="H24" s="110"/>
      <c r="I24" s="10"/>
    </row>
    <row r="25" ht="20.25" spans="2:9">
      <c r="B25" s="5"/>
      <c r="C25" s="315" t="s">
        <v>26</v>
      </c>
      <c r="D25" s="296"/>
      <c r="E25" s="296"/>
      <c r="F25" s="130"/>
      <c r="G25" s="316">
        <f>G16+G20</f>
        <v>3630500</v>
      </c>
      <c r="H25" s="317">
        <f>H10-G25</f>
        <v>680984396.23</v>
      </c>
      <c r="I25" s="10"/>
    </row>
    <row r="26" ht="19.5" spans="2:9">
      <c r="B26" s="5"/>
      <c r="C26" s="318" t="s">
        <v>27</v>
      </c>
      <c r="D26" s="130"/>
      <c r="E26" s="130"/>
      <c r="F26" s="130"/>
      <c r="G26" s="130"/>
      <c r="H26" s="244"/>
      <c r="I26" s="10"/>
    </row>
    <row r="27" ht="19.5" spans="2:9">
      <c r="B27" s="5"/>
      <c r="C27" s="265" t="s">
        <v>28</v>
      </c>
      <c r="D27" s="266" t="s">
        <v>1</v>
      </c>
      <c r="E27" s="319">
        <f>G23</f>
        <v>0</v>
      </c>
      <c r="F27" s="130"/>
      <c r="G27" s="130"/>
      <c r="H27" s="244"/>
      <c r="I27" s="10"/>
    </row>
    <row r="28" ht="19.5" spans="2:9">
      <c r="B28" s="5"/>
      <c r="C28" s="265" t="s">
        <v>29</v>
      </c>
      <c r="D28" s="266" t="s">
        <v>1</v>
      </c>
      <c r="E28" s="320" t="s">
        <v>30</v>
      </c>
      <c r="F28" s="130"/>
      <c r="G28" s="130"/>
      <c r="H28" s="244"/>
      <c r="I28" s="10"/>
    </row>
    <row r="29" ht="19.5" spans="2:9">
      <c r="B29" s="5"/>
      <c r="C29" s="268" t="s">
        <v>31</v>
      </c>
      <c r="D29" s="269" t="s">
        <v>1</v>
      </c>
      <c r="E29" s="321" t="s">
        <v>32</v>
      </c>
      <c r="F29" s="128"/>
      <c r="G29" s="271" t="s">
        <v>33</v>
      </c>
      <c r="H29" s="272"/>
      <c r="I29" s="10"/>
    </row>
    <row r="30" ht="6" customHeight="1" spans="2:9">
      <c r="B30" s="127"/>
      <c r="C30" s="128"/>
      <c r="D30" s="128"/>
      <c r="E30" s="128"/>
      <c r="F30" s="128"/>
      <c r="G30" s="128"/>
      <c r="H30" s="128"/>
      <c r="I30" s="129"/>
    </row>
    <row r="31" ht="19.5" spans="3:8">
      <c r="C31" s="130"/>
      <c r="D31" s="130"/>
      <c r="E31" s="130"/>
      <c r="F31" s="130"/>
      <c r="G31" s="130"/>
      <c r="H31" s="130"/>
    </row>
    <row r="32" ht="19.5" spans="3:8">
      <c r="C32" s="131" t="s">
        <v>34</v>
      </c>
      <c r="D32" s="132"/>
      <c r="E32" s="133"/>
      <c r="F32" s="134"/>
      <c r="G32" s="134"/>
      <c r="H32" s="130"/>
    </row>
    <row r="33" ht="19.5" spans="3:8">
      <c r="C33" s="131"/>
      <c r="D33" s="132"/>
      <c r="E33" s="133"/>
      <c r="F33" s="135" t="s">
        <v>35</v>
      </c>
      <c r="G33" s="136">
        <v>15000000</v>
      </c>
      <c r="H33" s="130"/>
    </row>
    <row r="34" ht="19.5" spans="3:8">
      <c r="C34" s="131" t="s">
        <v>36</v>
      </c>
      <c r="D34" s="132"/>
      <c r="E34" s="133">
        <v>68461489623</v>
      </c>
      <c r="F34" s="137" t="s">
        <v>37</v>
      </c>
      <c r="G34" s="138"/>
      <c r="H34" s="130"/>
    </row>
    <row r="35" ht="19.5" spans="3:8">
      <c r="C35" s="139">
        <v>0.01</v>
      </c>
      <c r="D35" s="132"/>
      <c r="E35" s="133">
        <f>E34*C35</f>
        <v>684614896.23</v>
      </c>
      <c r="F35" s="137" t="s">
        <v>38</v>
      </c>
      <c r="G35" s="140"/>
      <c r="H35" s="130"/>
    </row>
    <row r="36" ht="19.5" spans="3:8">
      <c r="C36" s="130"/>
      <c r="D36" s="130"/>
      <c r="E36" s="130"/>
      <c r="F36" s="130"/>
      <c r="G36" s="130"/>
      <c r="H36" s="130"/>
    </row>
    <row r="37" ht="19.5" spans="3:8">
      <c r="C37" s="130"/>
      <c r="D37" s="130"/>
      <c r="E37" s="130"/>
      <c r="F37" s="130"/>
      <c r="G37" s="130"/>
      <c r="H37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18:E18"/>
    <mergeCell ref="C25:E25"/>
    <mergeCell ref="G29:H29"/>
  </mergeCell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82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81738067.35</v>
      </c>
      <c r="H5" s="10"/>
    </row>
    <row r="6" ht="22.5" spans="2:8">
      <c r="B6" s="5"/>
      <c r="C6" s="11" t="s">
        <v>7</v>
      </c>
      <c r="D6" s="12" t="s">
        <v>1</v>
      </c>
      <c r="E6" s="15" t="s">
        <v>83</v>
      </c>
      <c r="F6" s="11" t="s">
        <v>9</v>
      </c>
      <c r="G6" s="14">
        <f>G4-G5</f>
        <v>671392525.705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0.891468932342215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23"/>
      <c r="D10" s="25"/>
      <c r="E10" s="25"/>
      <c r="F10" s="25"/>
      <c r="G10" s="200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201">
        <v>1</v>
      </c>
      <c r="D12" s="24" t="s">
        <v>16</v>
      </c>
      <c r="E12" s="24"/>
      <c r="F12" s="189">
        <v>0</v>
      </c>
      <c r="G12" s="26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20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20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67"/>
      <c r="D18" s="168"/>
      <c r="E18" s="24" t="s">
        <v>58</v>
      </c>
      <c r="F18" s="173">
        <f>+LK.04!G23</f>
        <v>3592000</v>
      </c>
      <c r="G18" s="26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.75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2.5" spans="2:8">
      <c r="B24" s="5"/>
      <c r="C24" s="203"/>
      <c r="D24" s="204"/>
      <c r="E24" s="205" t="s">
        <v>18</v>
      </c>
      <c r="F24" s="206">
        <f>SUM(F15:F23)</f>
        <v>66975064.35</v>
      </c>
      <c r="G24" s="207">
        <f>G10-F24</f>
        <v>686155528.705</v>
      </c>
      <c r="H24" s="10"/>
    </row>
    <row r="25" ht="21.75" spans="2:8">
      <c r="B25" s="5"/>
      <c r="C25" s="167" t="s">
        <v>19</v>
      </c>
      <c r="D25" s="184"/>
      <c r="E25" s="184"/>
      <c r="F25" s="25"/>
      <c r="G25" s="26"/>
      <c r="H25" s="10"/>
    </row>
    <row r="26" ht="21" spans="2:8">
      <c r="B26" s="5"/>
      <c r="C26" s="167" t="s">
        <v>20</v>
      </c>
      <c r="D26" s="184" t="s">
        <v>21</v>
      </c>
      <c r="E26" s="184" t="s">
        <v>22</v>
      </c>
      <c r="F26" s="25"/>
      <c r="G26" s="26"/>
      <c r="H26" s="10"/>
    </row>
    <row r="27" ht="20.25" spans="2:8">
      <c r="B27" s="5"/>
      <c r="C27" s="185">
        <v>44846</v>
      </c>
      <c r="D27" s="168" t="s">
        <v>23</v>
      </c>
      <c r="E27" s="208" t="s">
        <v>85</v>
      </c>
      <c r="F27" s="209">
        <v>14763003</v>
      </c>
      <c r="G27" s="26"/>
      <c r="H27" s="10"/>
    </row>
    <row r="28" ht="21" spans="2:8">
      <c r="B28" s="5"/>
      <c r="C28" s="185">
        <v>44673</v>
      </c>
      <c r="D28" s="168"/>
      <c r="E28" s="198" t="s">
        <v>45</v>
      </c>
      <c r="F28" s="199">
        <v>0</v>
      </c>
      <c r="G28" s="26"/>
      <c r="H28" s="10"/>
    </row>
    <row r="29" ht="21" spans="2:12">
      <c r="B29" s="5"/>
      <c r="C29" s="185"/>
      <c r="D29" s="168"/>
      <c r="E29" s="198" t="s">
        <v>54</v>
      </c>
      <c r="F29" s="199">
        <v>0</v>
      </c>
      <c r="G29" s="26"/>
      <c r="H29" s="10"/>
      <c r="L29" s="142"/>
    </row>
    <row r="30" ht="21" spans="2:13">
      <c r="B30" s="5"/>
      <c r="C30" s="185"/>
      <c r="D30" s="168"/>
      <c r="E30" s="198" t="s">
        <v>67</v>
      </c>
      <c r="F30" s="199">
        <v>0</v>
      </c>
      <c r="G30" s="26"/>
      <c r="H30" s="10"/>
      <c r="M30" s="142"/>
    </row>
    <row r="31" ht="21" spans="2:12">
      <c r="B31" s="5"/>
      <c r="C31" s="185"/>
      <c r="D31" s="168"/>
      <c r="E31" s="198" t="s">
        <v>68</v>
      </c>
      <c r="F31" s="199">
        <v>0</v>
      </c>
      <c r="G31" s="26"/>
      <c r="H31" s="10"/>
      <c r="L31" s="142"/>
    </row>
    <row r="32" ht="21" spans="2:13">
      <c r="B32" s="5"/>
      <c r="C32" s="185"/>
      <c r="D32" s="168"/>
      <c r="E32" s="198" t="s">
        <v>75</v>
      </c>
      <c r="F32" s="199">
        <v>0</v>
      </c>
      <c r="G32" s="26"/>
      <c r="H32" s="10"/>
      <c r="M32" s="142"/>
    </row>
    <row r="33" ht="21" spans="2:8">
      <c r="B33" s="5"/>
      <c r="C33" s="185"/>
      <c r="D33" s="168"/>
      <c r="E33" s="198" t="s">
        <v>86</v>
      </c>
      <c r="F33" s="214">
        <v>899435.65</v>
      </c>
      <c r="G33" s="26"/>
      <c r="H33" s="10"/>
    </row>
    <row r="34" ht="21" spans="2:8">
      <c r="B34" s="5"/>
      <c r="C34" s="185"/>
      <c r="D34" s="168"/>
      <c r="E34" s="197" t="s">
        <v>87</v>
      </c>
      <c r="F34" s="214">
        <v>13863567.35</v>
      </c>
      <c r="G34" s="26"/>
      <c r="H34" s="10"/>
    </row>
    <row r="35" ht="20.25" spans="2:13">
      <c r="B35" s="5"/>
      <c r="C35" s="23"/>
      <c r="D35" s="25"/>
      <c r="E35" s="25"/>
      <c r="F35" s="189">
        <v>0</v>
      </c>
      <c r="G35" s="26"/>
      <c r="H35" s="10"/>
      <c r="M35" s="142"/>
    </row>
    <row r="36" ht="22.5" spans="2:8">
      <c r="B36" s="5"/>
      <c r="C36" s="23"/>
      <c r="D36" s="25"/>
      <c r="E36" s="210" t="s">
        <v>25</v>
      </c>
      <c r="F36" s="192">
        <f>F27-SUM(F28:F35)</f>
        <v>0</v>
      </c>
      <c r="G36" s="26"/>
      <c r="H36" s="10"/>
    </row>
    <row r="37" ht="21" spans="2:8">
      <c r="B37" s="5"/>
      <c r="C37" s="211"/>
      <c r="D37" s="212"/>
      <c r="E37" s="212"/>
      <c r="F37" s="212"/>
      <c r="G37" s="64"/>
      <c r="H37" s="10"/>
    </row>
    <row r="38" ht="21.75" spans="2:8">
      <c r="B38" s="5"/>
      <c r="C38" s="111" t="s">
        <v>26</v>
      </c>
      <c r="D38" s="112"/>
      <c r="E38" s="112"/>
      <c r="F38" s="113">
        <f>F24+F27</f>
        <v>81738067.35</v>
      </c>
      <c r="G38" s="114">
        <f>G10-F38</f>
        <v>671392525.705</v>
      </c>
      <c r="H38" s="10"/>
    </row>
    <row r="39" ht="21" spans="2:8">
      <c r="B39" s="5"/>
      <c r="C39" s="115" t="s">
        <v>27</v>
      </c>
      <c r="D39" s="116"/>
      <c r="E39" s="34"/>
      <c r="F39" s="117"/>
      <c r="G39" s="56"/>
      <c r="H39" s="10"/>
    </row>
    <row r="40" ht="22.5" spans="2:8">
      <c r="B40" s="5"/>
      <c r="C40" s="118" t="s">
        <v>28</v>
      </c>
      <c r="D40" s="119" t="s">
        <v>1</v>
      </c>
      <c r="E40" s="120">
        <f>F36</f>
        <v>0</v>
      </c>
      <c r="F40" s="117"/>
      <c r="G40" s="56"/>
      <c r="H40" s="10"/>
    </row>
    <row r="41" ht="21" spans="2:8">
      <c r="B41" s="5"/>
      <c r="C41" s="118" t="s">
        <v>29</v>
      </c>
      <c r="D41" s="119" t="s">
        <v>1</v>
      </c>
      <c r="E41" s="121" t="s">
        <v>30</v>
      </c>
      <c r="F41" s="117"/>
      <c r="G41" s="56"/>
      <c r="H41" s="10"/>
    </row>
    <row r="42" ht="21" spans="2:8">
      <c r="B42" s="5"/>
      <c r="C42" s="122" t="s">
        <v>31</v>
      </c>
      <c r="D42" s="123" t="s">
        <v>1</v>
      </c>
      <c r="E42" s="124" t="s">
        <v>32</v>
      </c>
      <c r="F42" s="125" t="s">
        <v>50</v>
      </c>
      <c r="G42" s="126"/>
      <c r="H42" s="10"/>
    </row>
    <row r="43" ht="6" customHeight="1" spans="2:8">
      <c r="B43" s="127"/>
      <c r="C43" s="128"/>
      <c r="D43" s="128"/>
      <c r="E43" s="128"/>
      <c r="F43" s="128"/>
      <c r="G43" s="128"/>
      <c r="H43" s="129"/>
    </row>
    <row r="44" ht="19.5" spans="3:7">
      <c r="C44" s="130"/>
      <c r="D44" s="130"/>
      <c r="E44" s="130"/>
      <c r="F44" s="130"/>
      <c r="G44" s="130"/>
    </row>
    <row r="45" ht="19.5" spans="3:7">
      <c r="C45" s="131" t="s">
        <v>34</v>
      </c>
      <c r="D45" s="132"/>
      <c r="E45" s="133"/>
      <c r="F45" s="134"/>
      <c r="G45" s="130"/>
    </row>
    <row r="46" ht="19.5" spans="3:7">
      <c r="C46" s="131"/>
      <c r="D46" s="132"/>
      <c r="E46" s="133"/>
      <c r="F46" s="136">
        <v>15000000</v>
      </c>
      <c r="G46" s="130"/>
    </row>
    <row r="47" ht="19.5" spans="3:7">
      <c r="C47" s="131" t="s">
        <v>36</v>
      </c>
      <c r="D47" s="132"/>
      <c r="E47" s="133">
        <v>75313059305.5</v>
      </c>
      <c r="F47" s="138"/>
      <c r="G47" s="130"/>
    </row>
    <row r="48" ht="19.5" spans="3:7">
      <c r="C48" s="139">
        <v>0.01</v>
      </c>
      <c r="D48" s="132"/>
      <c r="E48" s="133">
        <f>E47*C48</f>
        <v>753130593.055</v>
      </c>
      <c r="F48" s="140"/>
      <c r="G48" s="130"/>
    </row>
    <row r="49" ht="19.5" spans="3:7">
      <c r="C49" s="130"/>
      <c r="D49" s="130"/>
      <c r="E49" s="130"/>
      <c r="F49" s="130"/>
      <c r="G49" s="130"/>
    </row>
    <row r="50" ht="19.5" spans="3:7">
      <c r="C50" s="130"/>
      <c r="D50" s="130"/>
      <c r="E50" s="130"/>
      <c r="F50" s="130"/>
      <c r="G50" s="130"/>
    </row>
  </sheetData>
  <mergeCells count="8">
    <mergeCell ref="C9:E9"/>
    <mergeCell ref="C11:E11"/>
    <mergeCell ref="D12:E12"/>
    <mergeCell ref="D13:E13"/>
    <mergeCell ref="C14:E14"/>
    <mergeCell ref="C25:E2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88</v>
      </c>
      <c r="F4" s="6" t="s">
        <v>3</v>
      </c>
      <c r="G4" s="9">
        <f>+E50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83866567.35</v>
      </c>
      <c r="H5" s="10"/>
    </row>
    <row r="6" ht="22.5" spans="2:8">
      <c r="B6" s="5"/>
      <c r="C6" s="11" t="s">
        <v>7</v>
      </c>
      <c r="D6" s="12" t="s">
        <v>1</v>
      </c>
      <c r="E6" s="15" t="s">
        <v>89</v>
      </c>
      <c r="F6" s="11" t="s">
        <v>9</v>
      </c>
      <c r="G6" s="14">
        <f>G4-G5</f>
        <v>669264025.705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0.888642729264518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23"/>
      <c r="D10" s="25"/>
      <c r="E10" s="25"/>
      <c r="F10" s="25"/>
      <c r="G10" s="200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201">
        <v>1</v>
      </c>
      <c r="D12" s="24" t="s">
        <v>16</v>
      </c>
      <c r="E12" s="24"/>
      <c r="F12" s="189">
        <v>0</v>
      </c>
      <c r="G12" s="26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20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20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74"/>
      <c r="D18" s="175"/>
      <c r="E18" s="170" t="s">
        <v>58</v>
      </c>
      <c r="F18" s="176">
        <f>+LK.04!G23</f>
        <v>3592000</v>
      </c>
      <c r="G18" s="60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1.75" spans="2:8">
      <c r="B24" s="5"/>
      <c r="C24" s="167"/>
      <c r="D24" s="168"/>
      <c r="E24" s="177" t="s">
        <v>85</v>
      </c>
      <c r="F24" s="173">
        <f>+LK.10!F27</f>
        <v>14763003</v>
      </c>
      <c r="G24" s="26"/>
      <c r="H24" s="10"/>
    </row>
    <row r="25" ht="22.5" spans="2:8">
      <c r="B25" s="5"/>
      <c r="C25" s="203"/>
      <c r="D25" s="204"/>
      <c r="E25" s="205" t="s">
        <v>18</v>
      </c>
      <c r="F25" s="206">
        <f>SUM(F15:F24)</f>
        <v>81738067.35</v>
      </c>
      <c r="G25" s="207">
        <f>G10-F25</f>
        <v>671392525.705</v>
      </c>
      <c r="H25" s="10"/>
    </row>
    <row r="26" ht="21.75" spans="2:8">
      <c r="B26" s="5"/>
      <c r="C26" s="174" t="s">
        <v>19</v>
      </c>
      <c r="D26" s="182"/>
      <c r="E26" s="182"/>
      <c r="F26" s="183"/>
      <c r="G26" s="60"/>
      <c r="H26" s="10"/>
    </row>
    <row r="27" ht="21" spans="2:8">
      <c r="B27" s="5"/>
      <c r="C27" s="167" t="s">
        <v>20</v>
      </c>
      <c r="D27" s="184" t="s">
        <v>21</v>
      </c>
      <c r="E27" s="184" t="s">
        <v>22</v>
      </c>
      <c r="F27" s="25"/>
      <c r="G27" s="26"/>
      <c r="H27" s="10"/>
    </row>
    <row r="28" ht="20.25" spans="2:8">
      <c r="B28" s="5"/>
      <c r="C28" s="185">
        <v>44846</v>
      </c>
      <c r="D28" s="168" t="s">
        <v>23</v>
      </c>
      <c r="E28" s="208" t="s">
        <v>90</v>
      </c>
      <c r="F28" s="209">
        <v>2128500</v>
      </c>
      <c r="G28" s="26"/>
      <c r="H28" s="10"/>
    </row>
    <row r="29" ht="21" spans="2:8">
      <c r="B29" s="5"/>
      <c r="C29" s="185">
        <v>44673</v>
      </c>
      <c r="D29" s="168"/>
      <c r="E29" s="198" t="s">
        <v>45</v>
      </c>
      <c r="F29" s="199">
        <v>0</v>
      </c>
      <c r="G29" s="26"/>
      <c r="H29" s="10"/>
    </row>
    <row r="30" ht="21" spans="2:12">
      <c r="B30" s="5"/>
      <c r="C30" s="185"/>
      <c r="D30" s="168"/>
      <c r="E30" s="198" t="s">
        <v>54</v>
      </c>
      <c r="F30" s="199">
        <v>0</v>
      </c>
      <c r="G30" s="26"/>
      <c r="H30" s="10"/>
      <c r="K30" s="213"/>
      <c r="L30" s="142"/>
    </row>
    <row r="31" ht="21" spans="2:13">
      <c r="B31" s="5"/>
      <c r="C31" s="185"/>
      <c r="D31" s="168"/>
      <c r="E31" s="198" t="s">
        <v>67</v>
      </c>
      <c r="F31" s="199">
        <v>0</v>
      </c>
      <c r="G31" s="26"/>
      <c r="H31" s="10"/>
      <c r="L31" s="142"/>
      <c r="M31" s="142"/>
    </row>
    <row r="32" ht="21" spans="2:12">
      <c r="B32" s="5"/>
      <c r="C32" s="185"/>
      <c r="D32" s="168"/>
      <c r="E32" s="198" t="s">
        <v>68</v>
      </c>
      <c r="F32" s="199">
        <v>0</v>
      </c>
      <c r="G32" s="26"/>
      <c r="H32" s="10"/>
      <c r="L32" s="142"/>
    </row>
    <row r="33" ht="21" spans="2:13">
      <c r="B33" s="5"/>
      <c r="C33" s="185"/>
      <c r="D33" s="168"/>
      <c r="E33" s="198" t="s">
        <v>75</v>
      </c>
      <c r="F33" s="199">
        <v>0</v>
      </c>
      <c r="G33" s="26"/>
      <c r="H33" s="10"/>
      <c r="M33" s="142"/>
    </row>
    <row r="34" ht="21" spans="2:8">
      <c r="B34" s="5"/>
      <c r="C34" s="185"/>
      <c r="D34" s="168"/>
      <c r="E34" s="198" t="s">
        <v>86</v>
      </c>
      <c r="F34" s="199">
        <v>0</v>
      </c>
      <c r="G34" s="26"/>
      <c r="H34" s="10"/>
    </row>
    <row r="35" ht="21" spans="2:8">
      <c r="B35" s="5"/>
      <c r="C35" s="185"/>
      <c r="D35" s="168"/>
      <c r="E35" s="198" t="s">
        <v>91</v>
      </c>
      <c r="F35" s="188">
        <v>136432.65</v>
      </c>
      <c r="G35" s="26"/>
      <c r="H35" s="10"/>
    </row>
    <row r="36" ht="21" spans="2:8">
      <c r="B36" s="5"/>
      <c r="C36" s="185"/>
      <c r="D36" s="168"/>
      <c r="E36" s="197" t="s">
        <v>92</v>
      </c>
      <c r="F36" s="188">
        <v>1992067.35</v>
      </c>
      <c r="G36" s="26"/>
      <c r="H36" s="10"/>
    </row>
    <row r="37" ht="20.25" spans="2:13">
      <c r="B37" s="5"/>
      <c r="C37" s="23"/>
      <c r="D37" s="25"/>
      <c r="E37" s="25"/>
      <c r="F37" s="189">
        <v>0</v>
      </c>
      <c r="G37" s="26"/>
      <c r="H37" s="10"/>
      <c r="M37" s="142"/>
    </row>
    <row r="38" ht="22.5" spans="2:8">
      <c r="B38" s="5"/>
      <c r="C38" s="23"/>
      <c r="D38" s="25"/>
      <c r="E38" s="210" t="s">
        <v>25</v>
      </c>
      <c r="F38" s="192">
        <f>F28-SUM(F29:F37)</f>
        <v>0</v>
      </c>
      <c r="G38" s="26"/>
      <c r="H38" s="10"/>
    </row>
    <row r="39" ht="21" spans="2:8">
      <c r="B39" s="5"/>
      <c r="C39" s="211"/>
      <c r="D39" s="212"/>
      <c r="E39" s="212"/>
      <c r="F39" s="212"/>
      <c r="G39" s="64"/>
      <c r="H39" s="10"/>
    </row>
    <row r="40" ht="21.75" spans="2:8">
      <c r="B40" s="5"/>
      <c r="C40" s="111" t="s">
        <v>26</v>
      </c>
      <c r="D40" s="112"/>
      <c r="E40" s="112"/>
      <c r="F40" s="113">
        <f>F25+F28</f>
        <v>83866567.35</v>
      </c>
      <c r="G40" s="114">
        <f>G10-F40</f>
        <v>669264025.705</v>
      </c>
      <c r="H40" s="10"/>
    </row>
    <row r="41" ht="21" spans="2:8">
      <c r="B41" s="5"/>
      <c r="C41" s="115" t="s">
        <v>27</v>
      </c>
      <c r="D41" s="116"/>
      <c r="E41" s="34"/>
      <c r="F41" s="117"/>
      <c r="G41" s="56"/>
      <c r="H41" s="10"/>
    </row>
    <row r="42" ht="22.5" spans="2:8">
      <c r="B42" s="5"/>
      <c r="C42" s="118" t="s">
        <v>28</v>
      </c>
      <c r="D42" s="119" t="s">
        <v>1</v>
      </c>
      <c r="E42" s="120">
        <f>F38</f>
        <v>0</v>
      </c>
      <c r="F42" s="117"/>
      <c r="G42" s="56"/>
      <c r="H42" s="10"/>
    </row>
    <row r="43" ht="21" spans="2:8">
      <c r="B43" s="5"/>
      <c r="C43" s="118" t="s">
        <v>29</v>
      </c>
      <c r="D43" s="119" t="s">
        <v>1</v>
      </c>
      <c r="E43" s="121" t="s">
        <v>30</v>
      </c>
      <c r="F43" s="117"/>
      <c r="G43" s="56"/>
      <c r="H43" s="10"/>
    </row>
    <row r="44" ht="21" spans="2:8">
      <c r="B44" s="5"/>
      <c r="C44" s="122" t="s">
        <v>31</v>
      </c>
      <c r="D44" s="123" t="s">
        <v>1</v>
      </c>
      <c r="E44" s="124" t="s">
        <v>32</v>
      </c>
      <c r="F44" s="125" t="s">
        <v>50</v>
      </c>
      <c r="G44" s="126"/>
      <c r="H44" s="10"/>
    </row>
    <row r="45" ht="6" customHeight="1" spans="2:8">
      <c r="B45" s="127"/>
      <c r="C45" s="128"/>
      <c r="D45" s="128"/>
      <c r="E45" s="128"/>
      <c r="F45" s="128"/>
      <c r="G45" s="128"/>
      <c r="H45" s="129"/>
    </row>
    <row r="46" ht="19.5" spans="3:7">
      <c r="C46" s="130"/>
      <c r="D46" s="130"/>
      <c r="E46" s="130"/>
      <c r="F46" s="130"/>
      <c r="G46" s="130"/>
    </row>
    <row r="47" ht="19.5" spans="3:7">
      <c r="C47" s="131" t="s">
        <v>34</v>
      </c>
      <c r="D47" s="132"/>
      <c r="E47" s="133"/>
      <c r="F47" s="134"/>
      <c r="G47" s="130"/>
    </row>
    <row r="48" ht="19.5" spans="3:7">
      <c r="C48" s="131"/>
      <c r="D48" s="132"/>
      <c r="E48" s="133"/>
      <c r="F48" s="136">
        <v>15000000</v>
      </c>
      <c r="G48" s="130"/>
    </row>
    <row r="49" ht="19.5" spans="3:7">
      <c r="C49" s="131" t="s">
        <v>36</v>
      </c>
      <c r="D49" s="132"/>
      <c r="E49" s="133">
        <v>75313059305.5</v>
      </c>
      <c r="F49" s="138"/>
      <c r="G49" s="130"/>
    </row>
    <row r="50" ht="19.5" spans="3:7">
      <c r="C50" s="139">
        <v>0.01</v>
      </c>
      <c r="D50" s="132"/>
      <c r="E50" s="133">
        <f>E49*C50</f>
        <v>753130593.055</v>
      </c>
      <c r="F50" s="140"/>
      <c r="G50" s="130"/>
    </row>
    <row r="51" ht="19.5" spans="3:7">
      <c r="C51" s="130"/>
      <c r="D51" s="130"/>
      <c r="E51" s="130"/>
      <c r="F51" s="130"/>
      <c r="G51" s="130"/>
    </row>
    <row r="52" ht="19.5" spans="3:7">
      <c r="C52" s="130"/>
      <c r="D52" s="130"/>
      <c r="E52" s="130"/>
      <c r="F52" s="130"/>
      <c r="G52" s="130"/>
    </row>
  </sheetData>
  <mergeCells count="8">
    <mergeCell ref="C9:E9"/>
    <mergeCell ref="C11:E11"/>
    <mergeCell ref="D12:E12"/>
    <mergeCell ref="D13:E13"/>
    <mergeCell ref="C14:E14"/>
    <mergeCell ref="C26:E26"/>
    <mergeCell ref="C40:E40"/>
    <mergeCell ref="F44:G44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3"/>
  <sheetViews>
    <sheetView zoomScale="70" zoomScaleNormal="70" workbookViewId="0">
      <selection activeCell="E4" sqref="E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3.1047619047619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93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90050095.2</v>
      </c>
      <c r="H5" s="10"/>
    </row>
    <row r="6" ht="22.5" spans="2:8">
      <c r="B6" s="5"/>
      <c r="C6" s="11" t="s">
        <v>7</v>
      </c>
      <c r="D6" s="12" t="s">
        <v>1</v>
      </c>
      <c r="E6" s="15" t="s">
        <v>94</v>
      </c>
      <c r="F6" s="11" t="s">
        <v>9</v>
      </c>
      <c r="G6" s="14">
        <f>G4-G5</f>
        <v>663080497.855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0.880432296828203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165"/>
      <c r="D10" s="116"/>
      <c r="E10" s="116"/>
      <c r="F10" s="116"/>
      <c r="G10" s="166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169">
        <v>1</v>
      </c>
      <c r="D12" s="170" t="s">
        <v>16</v>
      </c>
      <c r="E12" s="170"/>
      <c r="F12" s="171">
        <v>0</v>
      </c>
      <c r="G12" s="6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17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17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74"/>
      <c r="D18" s="175"/>
      <c r="E18" s="170" t="s">
        <v>58</v>
      </c>
      <c r="F18" s="176">
        <f>+LK.04!G23</f>
        <v>3592000</v>
      </c>
      <c r="G18" s="60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1" spans="2:8">
      <c r="B24" s="5"/>
      <c r="C24" s="167"/>
      <c r="D24" s="168"/>
      <c r="E24" s="177" t="s">
        <v>85</v>
      </c>
      <c r="F24" s="173">
        <f>+LK.10!F27</f>
        <v>14763003</v>
      </c>
      <c r="G24" s="26"/>
      <c r="H24" s="10"/>
    </row>
    <row r="25" ht="21.75" spans="2:8">
      <c r="B25" s="5"/>
      <c r="C25" s="178"/>
      <c r="D25" s="179"/>
      <c r="E25" s="180" t="s">
        <v>90</v>
      </c>
      <c r="F25" s="181">
        <f>+LK.11!F28</f>
        <v>2128500</v>
      </c>
      <c r="G25" s="193"/>
      <c r="H25" s="10"/>
    </row>
    <row r="26" ht="22.5" spans="2:8">
      <c r="B26" s="5"/>
      <c r="C26" s="65"/>
      <c r="D26" s="66"/>
      <c r="E26" s="67" t="s">
        <v>18</v>
      </c>
      <c r="F26" s="68">
        <f>SUM(F15:F25)</f>
        <v>83866567.35</v>
      </c>
      <c r="G26" s="69">
        <f>G10-F26</f>
        <v>669264025.705</v>
      </c>
      <c r="H26" s="10"/>
    </row>
    <row r="27" ht="21.75" spans="2:8">
      <c r="B27" s="5"/>
      <c r="C27" s="174" t="s">
        <v>19</v>
      </c>
      <c r="D27" s="182"/>
      <c r="E27" s="182"/>
      <c r="F27" s="183"/>
      <c r="G27" s="60"/>
      <c r="H27" s="10"/>
    </row>
    <row r="28" ht="21" spans="2:8">
      <c r="B28" s="5"/>
      <c r="C28" s="167" t="s">
        <v>20</v>
      </c>
      <c r="D28" s="184" t="s">
        <v>95</v>
      </c>
      <c r="E28" s="184" t="s">
        <v>22</v>
      </c>
      <c r="F28" s="25"/>
      <c r="G28" s="26"/>
      <c r="H28" s="10"/>
    </row>
    <row r="29" ht="21" spans="2:8">
      <c r="B29" s="5"/>
      <c r="C29" s="185">
        <v>44846</v>
      </c>
      <c r="D29" s="168" t="s">
        <v>23</v>
      </c>
      <c r="E29" s="186" t="s">
        <v>96</v>
      </c>
      <c r="F29" s="187">
        <v>6183527.85</v>
      </c>
      <c r="G29" s="26"/>
      <c r="H29" s="10"/>
    </row>
    <row r="30" ht="21" spans="2:8">
      <c r="B30" s="5"/>
      <c r="C30" s="185">
        <v>44673</v>
      </c>
      <c r="D30" s="168"/>
      <c r="E30" s="198" t="s">
        <v>45</v>
      </c>
      <c r="F30" s="199">
        <v>0</v>
      </c>
      <c r="G30" s="26"/>
      <c r="H30" s="10"/>
    </row>
    <row r="31" ht="21" spans="2:12">
      <c r="B31" s="5"/>
      <c r="C31" s="185"/>
      <c r="D31" s="168"/>
      <c r="E31" s="198" t="s">
        <v>54</v>
      </c>
      <c r="F31" s="199">
        <v>0</v>
      </c>
      <c r="G31" s="26"/>
      <c r="H31" s="10"/>
      <c r="L31" s="142"/>
    </row>
    <row r="32" ht="21" spans="2:13">
      <c r="B32" s="5"/>
      <c r="C32" s="185"/>
      <c r="D32" s="168"/>
      <c r="E32" s="198" t="s">
        <v>67</v>
      </c>
      <c r="F32" s="199">
        <v>0</v>
      </c>
      <c r="G32" s="26"/>
      <c r="H32" s="10"/>
      <c r="L32" s="142"/>
      <c r="M32" s="142"/>
    </row>
    <row r="33" ht="21" spans="2:13">
      <c r="B33" s="5"/>
      <c r="C33" s="185"/>
      <c r="D33" s="168"/>
      <c r="E33" s="198" t="s">
        <v>68</v>
      </c>
      <c r="F33" s="199">
        <v>0</v>
      </c>
      <c r="G33" s="26"/>
      <c r="H33" s="10"/>
      <c r="L33" s="142"/>
      <c r="M33" s="142"/>
    </row>
    <row r="34" ht="21" spans="2:13">
      <c r="B34" s="5"/>
      <c r="C34" s="185"/>
      <c r="D34" s="168"/>
      <c r="E34" s="198" t="s">
        <v>75</v>
      </c>
      <c r="F34" s="199">
        <v>0</v>
      </c>
      <c r="G34" s="26"/>
      <c r="H34" s="10"/>
      <c r="M34" s="142"/>
    </row>
    <row r="35" ht="21" spans="2:8">
      <c r="B35" s="5"/>
      <c r="C35" s="185"/>
      <c r="D35" s="168"/>
      <c r="E35" s="198" t="s">
        <v>86</v>
      </c>
      <c r="F35" s="199">
        <v>0</v>
      </c>
      <c r="G35" s="26"/>
      <c r="H35" s="10"/>
    </row>
    <row r="36" ht="21" spans="2:8">
      <c r="B36" s="5"/>
      <c r="C36" s="185"/>
      <c r="D36" s="168"/>
      <c r="E36" s="198" t="s">
        <v>91</v>
      </c>
      <c r="F36" s="199">
        <v>0</v>
      </c>
      <c r="G36" s="26"/>
      <c r="H36" s="10"/>
    </row>
    <row r="37" ht="21" spans="2:8">
      <c r="B37" s="5"/>
      <c r="C37" s="185"/>
      <c r="D37" s="168"/>
      <c r="E37" s="197" t="s">
        <v>97</v>
      </c>
      <c r="F37" s="188">
        <v>6183527.85</v>
      </c>
      <c r="G37" s="26"/>
      <c r="H37" s="10"/>
    </row>
    <row r="38" ht="20.25" spans="2:13">
      <c r="B38" s="5"/>
      <c r="C38" s="23"/>
      <c r="D38" s="25"/>
      <c r="E38" s="25"/>
      <c r="F38" s="189">
        <v>0</v>
      </c>
      <c r="G38" s="26"/>
      <c r="H38" s="10"/>
      <c r="M38" s="142"/>
    </row>
    <row r="39" ht="22.5" spans="2:8">
      <c r="B39" s="5"/>
      <c r="C39" s="190"/>
      <c r="D39" s="105"/>
      <c r="E39" s="191" t="s">
        <v>25</v>
      </c>
      <c r="F39" s="192">
        <f>F29-SUM(F30:F38)</f>
        <v>0</v>
      </c>
      <c r="G39" s="108"/>
      <c r="H39" s="10"/>
    </row>
    <row r="40" ht="20.25" spans="2:8">
      <c r="B40" s="5"/>
      <c r="C40" s="109"/>
      <c r="D40" s="66"/>
      <c r="E40" s="66"/>
      <c r="F40" s="66"/>
      <c r="G40" s="110"/>
      <c r="H40" s="10"/>
    </row>
    <row r="41" ht="21.75" spans="2:8">
      <c r="B41" s="5"/>
      <c r="C41" s="111" t="s">
        <v>26</v>
      </c>
      <c r="D41" s="112"/>
      <c r="E41" s="112"/>
      <c r="F41" s="113">
        <f>F26+F29</f>
        <v>90050095.2</v>
      </c>
      <c r="G41" s="114">
        <f>G10-F41</f>
        <v>663080497.855</v>
      </c>
      <c r="H41" s="10"/>
    </row>
    <row r="42" ht="21" spans="2:8">
      <c r="B42" s="5"/>
      <c r="C42" s="115" t="s">
        <v>27</v>
      </c>
      <c r="D42" s="116"/>
      <c r="E42" s="34"/>
      <c r="F42" s="117"/>
      <c r="G42" s="56"/>
      <c r="H42" s="10"/>
    </row>
    <row r="43" ht="22.5" spans="2:8">
      <c r="B43" s="5"/>
      <c r="C43" s="118" t="s">
        <v>28</v>
      </c>
      <c r="D43" s="119" t="s">
        <v>1</v>
      </c>
      <c r="E43" s="120">
        <f>F39</f>
        <v>0</v>
      </c>
      <c r="F43" s="117"/>
      <c r="G43" s="56"/>
      <c r="H43" s="10"/>
    </row>
    <row r="44" ht="21" spans="2:8">
      <c r="B44" s="5"/>
      <c r="C44" s="118" t="s">
        <v>29</v>
      </c>
      <c r="D44" s="119" t="s">
        <v>1</v>
      </c>
      <c r="E44" s="121" t="s">
        <v>30</v>
      </c>
      <c r="F44" s="117"/>
      <c r="G44" s="56"/>
      <c r="H44" s="10"/>
    </row>
    <row r="45" ht="21" spans="2:8">
      <c r="B45" s="5"/>
      <c r="C45" s="122" t="s">
        <v>31</v>
      </c>
      <c r="D45" s="123" t="s">
        <v>1</v>
      </c>
      <c r="E45" s="124" t="s">
        <v>32</v>
      </c>
      <c r="F45" s="125" t="s">
        <v>50</v>
      </c>
      <c r="G45" s="126"/>
      <c r="H45" s="10"/>
    </row>
    <row r="46" ht="6" customHeight="1" spans="2:8">
      <c r="B46" s="127"/>
      <c r="C46" s="128"/>
      <c r="D46" s="128"/>
      <c r="E46" s="128"/>
      <c r="F46" s="128"/>
      <c r="G46" s="128"/>
      <c r="H46" s="129"/>
    </row>
    <row r="47" ht="19.5" spans="3:7">
      <c r="C47" s="130"/>
      <c r="D47" s="130"/>
      <c r="E47" s="130"/>
      <c r="F47" s="130"/>
      <c r="G47" s="130"/>
    </row>
    <row r="48" ht="19.5" spans="3:7">
      <c r="C48" s="131" t="s">
        <v>34</v>
      </c>
      <c r="D48" s="132"/>
      <c r="E48" s="133"/>
      <c r="F48" s="134"/>
      <c r="G48" s="130"/>
    </row>
    <row r="49" ht="19.5" spans="3:7">
      <c r="C49" s="131"/>
      <c r="D49" s="132"/>
      <c r="E49" s="133"/>
      <c r="F49" s="135" t="s">
        <v>35</v>
      </c>
      <c r="G49" s="136">
        <v>15000000</v>
      </c>
    </row>
    <row r="50" ht="19.5" spans="3:7">
      <c r="C50" s="131" t="s">
        <v>36</v>
      </c>
      <c r="D50" s="132"/>
      <c r="E50" s="133">
        <v>75313059305.5</v>
      </c>
      <c r="F50" s="137" t="s">
        <v>37</v>
      </c>
      <c r="G50" s="138"/>
    </row>
    <row r="51" ht="19.5" spans="3:7">
      <c r="C51" s="139">
        <v>0.01</v>
      </c>
      <c r="D51" s="132"/>
      <c r="E51" s="133">
        <f>E50*C51</f>
        <v>753130593.055</v>
      </c>
      <c r="F51" s="137" t="s">
        <v>38</v>
      </c>
      <c r="G51" s="140"/>
    </row>
    <row r="52" ht="19.5" spans="3:7">
      <c r="C52" s="130"/>
      <c r="D52" s="130"/>
      <c r="E52" s="130"/>
      <c r="F52" s="130"/>
      <c r="G52" s="130"/>
    </row>
    <row r="53" ht="19.5" spans="3:7">
      <c r="C53" s="130"/>
      <c r="D53" s="130"/>
      <c r="E53" s="130"/>
      <c r="F53" s="130"/>
      <c r="G53" s="130"/>
    </row>
  </sheetData>
  <mergeCells count="8">
    <mergeCell ref="C9:E9"/>
    <mergeCell ref="C11:E11"/>
    <mergeCell ref="D12:E12"/>
    <mergeCell ref="D13:E13"/>
    <mergeCell ref="C14:E14"/>
    <mergeCell ref="C27:E27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98</v>
      </c>
      <c r="F4" s="6" t="s">
        <v>3</v>
      </c>
      <c r="G4" s="9">
        <f>+E46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99267946.2</v>
      </c>
      <c r="H5" s="10"/>
    </row>
    <row r="6" ht="22.5" spans="2:8">
      <c r="B6" s="5"/>
      <c r="C6" s="11" t="s">
        <v>7</v>
      </c>
      <c r="D6" s="12" t="s">
        <v>1</v>
      </c>
      <c r="E6" s="15" t="s">
        <v>99</v>
      </c>
      <c r="F6" s="11" t="s">
        <v>9</v>
      </c>
      <c r="G6" s="14">
        <f>G4-G5</f>
        <v>653862646.855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0.868192917516032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165"/>
      <c r="D10" s="116"/>
      <c r="E10" s="116"/>
      <c r="F10" s="116"/>
      <c r="G10" s="166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169">
        <v>1</v>
      </c>
      <c r="D12" s="170" t="s">
        <v>16</v>
      </c>
      <c r="E12" s="170"/>
      <c r="F12" s="171">
        <v>0</v>
      </c>
      <c r="G12" s="6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17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17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74"/>
      <c r="D18" s="175"/>
      <c r="E18" s="170" t="s">
        <v>58</v>
      </c>
      <c r="F18" s="176">
        <f>+LK.04!G23</f>
        <v>3592000</v>
      </c>
      <c r="G18" s="60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1" spans="2:8">
      <c r="B24" s="5"/>
      <c r="C24" s="167"/>
      <c r="D24" s="168"/>
      <c r="E24" s="177" t="s">
        <v>85</v>
      </c>
      <c r="F24" s="173">
        <f>+LK.10!F27</f>
        <v>14763003</v>
      </c>
      <c r="G24" s="26"/>
      <c r="H24" s="10"/>
    </row>
    <row r="25" ht="21" spans="2:8">
      <c r="B25" s="5"/>
      <c r="C25" s="167"/>
      <c r="D25" s="168"/>
      <c r="E25" s="177" t="s">
        <v>90</v>
      </c>
      <c r="F25" s="173">
        <f>+LK.11!F28</f>
        <v>2128500</v>
      </c>
      <c r="G25" s="26"/>
      <c r="H25" s="10"/>
    </row>
    <row r="26" ht="21.75" spans="2:8">
      <c r="B26" s="5"/>
      <c r="C26" s="61"/>
      <c r="D26" s="194"/>
      <c r="E26" s="195" t="s">
        <v>100</v>
      </c>
      <c r="F26" s="196">
        <f>+LK.12!F29</f>
        <v>6183527.85</v>
      </c>
      <c r="G26" s="64"/>
      <c r="H26" s="10"/>
    </row>
    <row r="27" ht="22.5" spans="2:8">
      <c r="B27" s="5"/>
      <c r="C27" s="65"/>
      <c r="D27" s="66"/>
      <c r="E27" s="67" t="s">
        <v>18</v>
      </c>
      <c r="F27" s="68">
        <f>SUM(F15:F26)</f>
        <v>90050095.2</v>
      </c>
      <c r="G27" s="69">
        <f>G10-F27</f>
        <v>663080497.855</v>
      </c>
      <c r="H27" s="10"/>
    </row>
    <row r="28" ht="21.75" spans="2:8">
      <c r="B28" s="5"/>
      <c r="C28" s="174" t="s">
        <v>19</v>
      </c>
      <c r="D28" s="182"/>
      <c r="E28" s="182"/>
      <c r="F28" s="183"/>
      <c r="G28" s="60"/>
      <c r="H28" s="10"/>
    </row>
    <row r="29" ht="21" spans="2:8">
      <c r="B29" s="5"/>
      <c r="C29" s="167" t="s">
        <v>20</v>
      </c>
      <c r="D29" s="184" t="s">
        <v>95</v>
      </c>
      <c r="E29" s="184" t="s">
        <v>22</v>
      </c>
      <c r="F29" s="25"/>
      <c r="G29" s="26"/>
      <c r="H29" s="10"/>
    </row>
    <row r="30" ht="21" spans="2:8">
      <c r="B30" s="5"/>
      <c r="C30" s="185">
        <v>44875</v>
      </c>
      <c r="D30" s="168" t="s">
        <v>23</v>
      </c>
      <c r="E30" s="186" t="s">
        <v>101</v>
      </c>
      <c r="F30" s="187">
        <v>9217851</v>
      </c>
      <c r="G30" s="26"/>
      <c r="H30" s="10"/>
    </row>
    <row r="31" ht="21" spans="2:13">
      <c r="B31" s="5"/>
      <c r="C31" s="185"/>
      <c r="D31" s="168"/>
      <c r="E31" s="197" t="s">
        <v>102</v>
      </c>
      <c r="F31" s="188">
        <v>6824404.8</v>
      </c>
      <c r="G31" s="26"/>
      <c r="H31" s="10"/>
      <c r="M31" s="142">
        <f>14000000-F32</f>
        <v>11606553.8</v>
      </c>
    </row>
    <row r="32" ht="21" spans="2:8">
      <c r="B32" s="5"/>
      <c r="C32" s="185"/>
      <c r="D32" s="168"/>
      <c r="E32" s="94" t="s">
        <v>103</v>
      </c>
      <c r="F32" s="188">
        <v>2393446.2</v>
      </c>
      <c r="G32" s="26"/>
      <c r="H32" s="10"/>
    </row>
    <row r="33" ht="20.25" spans="2:13">
      <c r="B33" s="5"/>
      <c r="C33" s="23"/>
      <c r="D33" s="25"/>
      <c r="E33" s="25"/>
      <c r="F33" s="189">
        <v>0</v>
      </c>
      <c r="G33" s="26"/>
      <c r="H33" s="10"/>
      <c r="M33" s="142"/>
    </row>
    <row r="34" ht="22.5" spans="2:8">
      <c r="B34" s="5"/>
      <c r="C34" s="190"/>
      <c r="D34" s="105"/>
      <c r="E34" s="191" t="s">
        <v>25</v>
      </c>
      <c r="F34" s="192">
        <f>F30-SUM(F31:F33)</f>
        <v>0</v>
      </c>
      <c r="G34" s="108"/>
      <c r="H34" s="10"/>
    </row>
    <row r="35" ht="20.25" spans="2:8">
      <c r="B35" s="5"/>
      <c r="C35" s="109"/>
      <c r="D35" s="66"/>
      <c r="E35" s="66"/>
      <c r="F35" s="66"/>
      <c r="G35" s="110"/>
      <c r="H35" s="10"/>
    </row>
    <row r="36" ht="21.75" spans="2:8">
      <c r="B36" s="5"/>
      <c r="C36" s="111" t="s">
        <v>26</v>
      </c>
      <c r="D36" s="112"/>
      <c r="E36" s="112"/>
      <c r="F36" s="113">
        <f>F27+F30</f>
        <v>99267946.2</v>
      </c>
      <c r="G36" s="114">
        <f>G10-F36</f>
        <v>653862646.855</v>
      </c>
      <c r="H36" s="10"/>
    </row>
    <row r="37" ht="21" spans="2:8">
      <c r="B37" s="5"/>
      <c r="C37" s="115" t="s">
        <v>27</v>
      </c>
      <c r="D37" s="116"/>
      <c r="E37" s="34"/>
      <c r="F37" s="117"/>
      <c r="G37" s="56"/>
      <c r="H37" s="10"/>
    </row>
    <row r="38" ht="22.5" spans="2:8">
      <c r="B38" s="5"/>
      <c r="C38" s="118" t="s">
        <v>28</v>
      </c>
      <c r="D38" s="119" t="s">
        <v>1</v>
      </c>
      <c r="E38" s="120">
        <f>F34</f>
        <v>0</v>
      </c>
      <c r="F38" s="117"/>
      <c r="G38" s="56"/>
      <c r="H38" s="10"/>
    </row>
    <row r="39" ht="21" spans="2:8">
      <c r="B39" s="5"/>
      <c r="C39" s="118" t="s">
        <v>29</v>
      </c>
      <c r="D39" s="119" t="s">
        <v>1</v>
      </c>
      <c r="E39" s="121" t="s">
        <v>30</v>
      </c>
      <c r="F39" s="117"/>
      <c r="G39" s="56"/>
      <c r="H39" s="10"/>
    </row>
    <row r="40" ht="21" spans="2:8">
      <c r="B40" s="5"/>
      <c r="C40" s="122" t="s">
        <v>31</v>
      </c>
      <c r="D40" s="123" t="s">
        <v>1</v>
      </c>
      <c r="E40" s="124" t="s">
        <v>32</v>
      </c>
      <c r="F40" s="125" t="s">
        <v>50</v>
      </c>
      <c r="G40" s="126"/>
      <c r="H40" s="10"/>
    </row>
    <row r="41" ht="6" customHeight="1" spans="2:8">
      <c r="B41" s="127"/>
      <c r="C41" s="128"/>
      <c r="D41" s="128"/>
      <c r="E41" s="128"/>
      <c r="F41" s="128"/>
      <c r="G41" s="128"/>
      <c r="H41" s="129"/>
    </row>
    <row r="42" ht="19.5" spans="3:7">
      <c r="C42" s="130"/>
      <c r="D42" s="130"/>
      <c r="E42" s="130"/>
      <c r="F42" s="130"/>
      <c r="G42" s="130"/>
    </row>
    <row r="43" ht="19.5" spans="3:7">
      <c r="C43" s="131" t="s">
        <v>34</v>
      </c>
      <c r="D43" s="132"/>
      <c r="E43" s="133"/>
      <c r="F43" s="134"/>
      <c r="G43" s="130"/>
    </row>
    <row r="44" ht="19.5" spans="3:7">
      <c r="C44" s="131"/>
      <c r="D44" s="132"/>
      <c r="E44" s="133"/>
      <c r="F44" s="135" t="s">
        <v>35</v>
      </c>
      <c r="G44" s="136">
        <v>15000000</v>
      </c>
    </row>
    <row r="45" ht="19.5" spans="3:7">
      <c r="C45" s="131" t="s">
        <v>36</v>
      </c>
      <c r="D45" s="132"/>
      <c r="E45" s="133">
        <v>75313059305.5</v>
      </c>
      <c r="F45" s="137" t="s">
        <v>37</v>
      </c>
      <c r="G45" s="138"/>
    </row>
    <row r="46" ht="19.5" spans="3:7">
      <c r="C46" s="139">
        <v>0.01</v>
      </c>
      <c r="D46" s="132"/>
      <c r="E46" s="133">
        <f>E45*C46</f>
        <v>753130593.055</v>
      </c>
      <c r="F46" s="137" t="s">
        <v>38</v>
      </c>
      <c r="G46" s="140"/>
    </row>
    <row r="47" ht="19.5" spans="3:7">
      <c r="C47" s="130"/>
      <c r="D47" s="130"/>
      <c r="E47" s="130"/>
      <c r="F47" s="130"/>
      <c r="G47" s="130"/>
    </row>
    <row r="48" ht="19.5" spans="3:7">
      <c r="C48" s="130"/>
      <c r="D48" s="130"/>
      <c r="E48" s="130"/>
      <c r="F48" s="130"/>
      <c r="G48" s="130"/>
    </row>
  </sheetData>
  <mergeCells count="8">
    <mergeCell ref="C9:E9"/>
    <mergeCell ref="C11:E11"/>
    <mergeCell ref="D12:E12"/>
    <mergeCell ref="D13:E13"/>
    <mergeCell ref="C14:E14"/>
    <mergeCell ref="C28:E28"/>
    <mergeCell ref="C36:E36"/>
    <mergeCell ref="F40:G40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104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116586045.75</v>
      </c>
      <c r="H5" s="10"/>
    </row>
    <row r="6" ht="22.5" spans="2:8">
      <c r="B6" s="5"/>
      <c r="C6" s="11" t="s">
        <v>7</v>
      </c>
      <c r="D6" s="12" t="s">
        <v>1</v>
      </c>
      <c r="E6" s="15" t="s">
        <v>105</v>
      </c>
      <c r="F6" s="11" t="s">
        <v>9</v>
      </c>
      <c r="G6" s="14">
        <f>G4-G5</f>
        <v>636544547.305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0.845198101331828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165"/>
      <c r="D10" s="116"/>
      <c r="E10" s="116"/>
      <c r="F10" s="116"/>
      <c r="G10" s="166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169">
        <v>1</v>
      </c>
      <c r="D12" s="170" t="s">
        <v>16</v>
      </c>
      <c r="E12" s="170"/>
      <c r="F12" s="171">
        <v>0</v>
      </c>
      <c r="G12" s="6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17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17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74"/>
      <c r="D18" s="175"/>
      <c r="E18" s="170" t="s">
        <v>58</v>
      </c>
      <c r="F18" s="176">
        <f>+LK.04!G23</f>
        <v>3592000</v>
      </c>
      <c r="G18" s="60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1" spans="2:8">
      <c r="B24" s="5"/>
      <c r="C24" s="167"/>
      <c r="D24" s="168"/>
      <c r="E24" s="177" t="s">
        <v>85</v>
      </c>
      <c r="F24" s="173">
        <f>+LK.10!F27</f>
        <v>14763003</v>
      </c>
      <c r="G24" s="26"/>
      <c r="H24" s="10"/>
    </row>
    <row r="25" ht="21" spans="2:8">
      <c r="B25" s="5"/>
      <c r="C25" s="167"/>
      <c r="D25" s="168"/>
      <c r="E25" s="177" t="s">
        <v>90</v>
      </c>
      <c r="F25" s="173">
        <f>+LK.11!F28</f>
        <v>2128500</v>
      </c>
      <c r="G25" s="26"/>
      <c r="H25" s="10"/>
    </row>
    <row r="26" ht="21" spans="2:8">
      <c r="B26" s="5"/>
      <c r="C26" s="167"/>
      <c r="D26" s="168"/>
      <c r="E26" s="177" t="s">
        <v>100</v>
      </c>
      <c r="F26" s="173">
        <f>+LK.12!F29</f>
        <v>6183527.85</v>
      </c>
      <c r="G26" s="26"/>
      <c r="H26" s="10"/>
    </row>
    <row r="27" ht="21.75" spans="2:8">
      <c r="B27" s="5"/>
      <c r="C27" s="178"/>
      <c r="D27" s="179"/>
      <c r="E27" s="180" t="s">
        <v>101</v>
      </c>
      <c r="F27" s="181">
        <f>+LK.13!F30</f>
        <v>9217851</v>
      </c>
      <c r="G27" s="193"/>
      <c r="H27" s="10"/>
    </row>
    <row r="28" ht="22.5" spans="2:8">
      <c r="B28" s="5"/>
      <c r="C28" s="65"/>
      <c r="D28" s="66"/>
      <c r="E28" s="67" t="s">
        <v>18</v>
      </c>
      <c r="F28" s="68">
        <f>SUM(F15:F27)</f>
        <v>99267946.2</v>
      </c>
      <c r="G28" s="69">
        <f>G10-F28</f>
        <v>653862646.855</v>
      </c>
      <c r="H28" s="10"/>
    </row>
    <row r="29" ht="21.75" spans="2:8">
      <c r="B29" s="5"/>
      <c r="C29" s="174" t="s">
        <v>19</v>
      </c>
      <c r="D29" s="182"/>
      <c r="E29" s="182"/>
      <c r="F29" s="183"/>
      <c r="G29" s="60"/>
      <c r="H29" s="10"/>
    </row>
    <row r="30" ht="21" spans="2:8">
      <c r="B30" s="5"/>
      <c r="C30" s="167" t="s">
        <v>20</v>
      </c>
      <c r="D30" s="184" t="s">
        <v>95</v>
      </c>
      <c r="E30" s="184" t="s">
        <v>22</v>
      </c>
      <c r="F30" s="25"/>
      <c r="G30" s="26"/>
      <c r="H30" s="10"/>
    </row>
    <row r="31" ht="21" spans="2:8">
      <c r="B31" s="5"/>
      <c r="C31" s="185">
        <v>44875</v>
      </c>
      <c r="D31" s="168" t="s">
        <v>23</v>
      </c>
      <c r="E31" s="186" t="s">
        <v>106</v>
      </c>
      <c r="F31" s="187">
        <v>17318099.55</v>
      </c>
      <c r="G31" s="26"/>
      <c r="H31" s="10"/>
    </row>
    <row r="32" ht="21" spans="2:8">
      <c r="B32" s="5"/>
      <c r="C32" s="185"/>
      <c r="D32" s="168"/>
      <c r="E32" s="94" t="s">
        <v>107</v>
      </c>
      <c r="F32" s="188">
        <v>11606553.8</v>
      </c>
      <c r="G32" s="26"/>
      <c r="H32" s="10"/>
    </row>
    <row r="33" ht="21" spans="2:13">
      <c r="B33" s="5"/>
      <c r="C33" s="185"/>
      <c r="D33" s="168"/>
      <c r="E33" s="94" t="s">
        <v>108</v>
      </c>
      <c r="F33" s="188">
        <v>4500000</v>
      </c>
      <c r="G33" s="26"/>
      <c r="H33" s="10"/>
      <c r="M33" s="142">
        <f>14000000-F34</f>
        <v>12788454.25</v>
      </c>
    </row>
    <row r="34" ht="21" spans="2:8">
      <c r="B34" s="5"/>
      <c r="C34" s="185"/>
      <c r="D34" s="168"/>
      <c r="E34" s="94" t="s">
        <v>109</v>
      </c>
      <c r="F34" s="188">
        <v>1211545.75</v>
      </c>
      <c r="G34" s="26"/>
      <c r="H34" s="10"/>
    </row>
    <row r="35" ht="20.25" spans="2:13">
      <c r="B35" s="5"/>
      <c r="C35" s="23"/>
      <c r="D35" s="25"/>
      <c r="E35" s="25"/>
      <c r="F35" s="189">
        <v>0</v>
      </c>
      <c r="G35" s="26"/>
      <c r="H35" s="10"/>
      <c r="M35" s="142"/>
    </row>
    <row r="36" ht="22.5" spans="2:8">
      <c r="B36" s="5"/>
      <c r="C36" s="190"/>
      <c r="D36" s="105"/>
      <c r="E36" s="191" t="s">
        <v>25</v>
      </c>
      <c r="F36" s="192">
        <f>F31-SUM(F32:F35)</f>
        <v>0</v>
      </c>
      <c r="G36" s="108"/>
      <c r="H36" s="10"/>
    </row>
    <row r="37" ht="20.25" spans="2:8">
      <c r="B37" s="5"/>
      <c r="C37" s="109"/>
      <c r="D37" s="66"/>
      <c r="E37" s="66"/>
      <c r="F37" s="66"/>
      <c r="G37" s="110"/>
      <c r="H37" s="10"/>
    </row>
    <row r="38" ht="21.75" spans="2:8">
      <c r="B38" s="5"/>
      <c r="C38" s="111" t="s">
        <v>26</v>
      </c>
      <c r="D38" s="112"/>
      <c r="E38" s="112"/>
      <c r="F38" s="113">
        <f>F28+F31</f>
        <v>116586045.75</v>
      </c>
      <c r="G38" s="114">
        <f>G10-F38</f>
        <v>636544547.305</v>
      </c>
      <c r="H38" s="10"/>
    </row>
    <row r="39" ht="21" spans="2:8">
      <c r="B39" s="5"/>
      <c r="C39" s="115" t="s">
        <v>27</v>
      </c>
      <c r="D39" s="116"/>
      <c r="E39" s="34"/>
      <c r="F39" s="117"/>
      <c r="G39" s="56"/>
      <c r="H39" s="10"/>
    </row>
    <row r="40" ht="22.5" spans="2:8">
      <c r="B40" s="5"/>
      <c r="C40" s="118" t="s">
        <v>28</v>
      </c>
      <c r="D40" s="119" t="s">
        <v>1</v>
      </c>
      <c r="E40" s="120">
        <f>F36</f>
        <v>0</v>
      </c>
      <c r="F40" s="117"/>
      <c r="G40" s="56"/>
      <c r="H40" s="10"/>
    </row>
    <row r="41" ht="21" spans="2:8">
      <c r="B41" s="5"/>
      <c r="C41" s="118" t="s">
        <v>29</v>
      </c>
      <c r="D41" s="119" t="s">
        <v>1</v>
      </c>
      <c r="E41" s="121" t="s">
        <v>30</v>
      </c>
      <c r="F41" s="117"/>
      <c r="G41" s="56"/>
      <c r="H41" s="10"/>
    </row>
    <row r="42" ht="21" spans="2:8">
      <c r="B42" s="5"/>
      <c r="C42" s="122" t="s">
        <v>31</v>
      </c>
      <c r="D42" s="123" t="s">
        <v>1</v>
      </c>
      <c r="E42" s="124" t="s">
        <v>32</v>
      </c>
      <c r="F42" s="125" t="s">
        <v>50</v>
      </c>
      <c r="G42" s="126"/>
      <c r="H42" s="10"/>
    </row>
    <row r="43" ht="6" customHeight="1" spans="2:8">
      <c r="B43" s="127"/>
      <c r="C43" s="128"/>
      <c r="D43" s="128"/>
      <c r="E43" s="128"/>
      <c r="F43" s="128"/>
      <c r="G43" s="128"/>
      <c r="H43" s="129"/>
    </row>
    <row r="44" ht="19.5" spans="3:7">
      <c r="C44" s="130"/>
      <c r="D44" s="130"/>
      <c r="E44" s="130"/>
      <c r="F44" s="130"/>
      <c r="G44" s="130"/>
    </row>
    <row r="45" ht="19.5" spans="3:7">
      <c r="C45" s="131" t="s">
        <v>34</v>
      </c>
      <c r="D45" s="132"/>
      <c r="E45" s="133"/>
      <c r="F45" s="134"/>
      <c r="G45" s="130"/>
    </row>
    <row r="46" ht="19.5" spans="3:7">
      <c r="C46" s="131"/>
      <c r="D46" s="132"/>
      <c r="E46" s="133"/>
      <c r="F46" s="135" t="s">
        <v>35</v>
      </c>
      <c r="G46" s="136">
        <v>15000000</v>
      </c>
    </row>
    <row r="47" ht="19.5" spans="3:7">
      <c r="C47" s="131" t="s">
        <v>36</v>
      </c>
      <c r="D47" s="132"/>
      <c r="E47" s="133">
        <v>75313059305.5</v>
      </c>
      <c r="F47" s="137" t="s">
        <v>37</v>
      </c>
      <c r="G47" s="138"/>
    </row>
    <row r="48" ht="19.5" spans="3:7">
      <c r="C48" s="139">
        <v>0.01</v>
      </c>
      <c r="D48" s="132"/>
      <c r="E48" s="133">
        <f>E47*C48</f>
        <v>753130593.055</v>
      </c>
      <c r="F48" s="137" t="s">
        <v>38</v>
      </c>
      <c r="G48" s="140"/>
    </row>
    <row r="49" ht="19.5" spans="3:7">
      <c r="C49" s="130"/>
      <c r="D49" s="130"/>
      <c r="E49" s="130"/>
      <c r="F49" s="130"/>
      <c r="G49" s="130"/>
    </row>
    <row r="50" ht="19.5" spans="3:7">
      <c r="C50" s="130"/>
      <c r="D50" s="130"/>
      <c r="E50" s="130"/>
      <c r="F50" s="130"/>
      <c r="G50" s="130"/>
    </row>
  </sheetData>
  <mergeCells count="8">
    <mergeCell ref="C9:E9"/>
    <mergeCell ref="C11:E11"/>
    <mergeCell ref="D12:E12"/>
    <mergeCell ref="D13:E13"/>
    <mergeCell ref="C14:E14"/>
    <mergeCell ref="C29:E29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M49"/>
  <sheetViews>
    <sheetView view="pageBreakPreview" zoomScaleNormal="70" topLeftCell="B1" workbookViewId="0">
      <selection activeCell="F32" sqref="F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1.3333333333333" style="1" customWidth="1"/>
    <col min="7" max="7" width="24.3333333333333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110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127847237.75</v>
      </c>
      <c r="H5" s="10"/>
    </row>
    <row r="6" ht="22.5" spans="2:8">
      <c r="B6" s="5"/>
      <c r="C6" s="11" t="s">
        <v>7</v>
      </c>
      <c r="D6" s="12" t="s">
        <v>1</v>
      </c>
      <c r="E6" s="15" t="s">
        <v>111</v>
      </c>
      <c r="F6" s="11" t="s">
        <v>9</v>
      </c>
      <c r="G6" s="14">
        <f>G4-G5</f>
        <v>625283355.305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0.830245592293097</v>
      </c>
      <c r="H7" s="10"/>
    </row>
    <row r="8" ht="6" customHeight="1" spans="2:8">
      <c r="B8" s="5"/>
      <c r="H8" s="10"/>
    </row>
    <row r="9" ht="21" spans="2:8">
      <c r="B9" s="5"/>
      <c r="C9" s="163" t="s">
        <v>11</v>
      </c>
      <c r="D9" s="164"/>
      <c r="E9" s="164"/>
      <c r="F9" s="21" t="s">
        <v>13</v>
      </c>
      <c r="G9" s="22" t="s">
        <v>14</v>
      </c>
      <c r="H9" s="10"/>
    </row>
    <row r="10" ht="20.25" spans="2:8">
      <c r="B10" s="5"/>
      <c r="C10" s="165"/>
      <c r="D10" s="116"/>
      <c r="E10" s="116"/>
      <c r="F10" s="116"/>
      <c r="G10" s="166">
        <f>G4</f>
        <v>753130593.055</v>
      </c>
      <c r="H10" s="10"/>
    </row>
    <row r="11" ht="21" spans="2:8">
      <c r="B11" s="5"/>
      <c r="C11" s="167" t="s">
        <v>15</v>
      </c>
      <c r="D11" s="168"/>
      <c r="E11" s="168"/>
      <c r="F11" s="25"/>
      <c r="G11" s="26"/>
      <c r="H11" s="10"/>
    </row>
    <row r="12" ht="20.25" spans="2:8">
      <c r="B12" s="5"/>
      <c r="C12" s="169">
        <v>1</v>
      </c>
      <c r="D12" s="170" t="s">
        <v>16</v>
      </c>
      <c r="E12" s="170"/>
      <c r="F12" s="171">
        <v>0</v>
      </c>
      <c r="G12" s="60"/>
      <c r="H12" s="10"/>
    </row>
    <row r="13" ht="20.25" spans="2:8">
      <c r="B13" s="5"/>
      <c r="C13" s="23"/>
      <c r="D13" s="24"/>
      <c r="E13" s="24"/>
      <c r="F13" s="25"/>
      <c r="G13" s="26"/>
      <c r="H13" s="10"/>
    </row>
    <row r="14" ht="21" spans="2:8">
      <c r="B14" s="5"/>
      <c r="C14" s="167" t="s">
        <v>17</v>
      </c>
      <c r="D14" s="168"/>
      <c r="E14" s="168"/>
      <c r="F14" s="25"/>
      <c r="G14" s="26"/>
      <c r="H14" s="10"/>
    </row>
    <row r="15" ht="21" spans="2:8">
      <c r="B15" s="5"/>
      <c r="C15" s="167"/>
      <c r="D15" s="168"/>
      <c r="E15" s="24" t="s">
        <v>41</v>
      </c>
      <c r="F15" s="172">
        <f>+LK.01!G20</f>
        <v>3630500</v>
      </c>
      <c r="G15" s="26"/>
      <c r="H15" s="10"/>
    </row>
    <row r="16" ht="21" spans="2:8">
      <c r="B16" s="5"/>
      <c r="C16" s="167"/>
      <c r="D16" s="168"/>
      <c r="E16" s="24" t="s">
        <v>44</v>
      </c>
      <c r="F16" s="172">
        <f>+LK.02!G22</f>
        <v>2244000</v>
      </c>
      <c r="G16" s="26"/>
      <c r="H16" s="10"/>
    </row>
    <row r="17" ht="21" spans="2:8">
      <c r="B17" s="5"/>
      <c r="C17" s="167"/>
      <c r="D17" s="168"/>
      <c r="E17" s="24" t="s">
        <v>53</v>
      </c>
      <c r="F17" s="173">
        <f>+LK.03!G22</f>
        <v>7381394</v>
      </c>
      <c r="G17" s="26"/>
      <c r="H17" s="10"/>
    </row>
    <row r="18" ht="21" spans="2:8">
      <c r="B18" s="5"/>
      <c r="C18" s="174"/>
      <c r="D18" s="175"/>
      <c r="E18" s="170" t="s">
        <v>58</v>
      </c>
      <c r="F18" s="176">
        <f>+LK.04!G23</f>
        <v>3592000</v>
      </c>
      <c r="G18" s="60"/>
      <c r="H18" s="10"/>
    </row>
    <row r="19" ht="21" spans="2:8">
      <c r="B19" s="5"/>
      <c r="C19" s="167"/>
      <c r="D19" s="168"/>
      <c r="E19" s="24" t="s">
        <v>62</v>
      </c>
      <c r="F19" s="173">
        <f>+LK.05!G24</f>
        <v>5997670</v>
      </c>
      <c r="G19" s="26"/>
      <c r="H19" s="10"/>
    </row>
    <row r="20" ht="21" spans="2:8">
      <c r="B20" s="5"/>
      <c r="C20" s="167"/>
      <c r="D20" s="168"/>
      <c r="E20" s="24" t="s">
        <v>66</v>
      </c>
      <c r="F20" s="173">
        <f>+LK.06!G25</f>
        <v>2722000</v>
      </c>
      <c r="G20" s="26"/>
      <c r="H20" s="10"/>
    </row>
    <row r="21" ht="21" spans="2:8">
      <c r="B21" s="5"/>
      <c r="C21" s="167"/>
      <c r="D21" s="168"/>
      <c r="E21" s="24" t="s">
        <v>73</v>
      </c>
      <c r="F21" s="173">
        <f>+LK.07!G26</f>
        <v>11511387</v>
      </c>
      <c r="G21" s="26"/>
      <c r="H21" s="10"/>
    </row>
    <row r="22" ht="21" spans="2:8">
      <c r="B22" s="5"/>
      <c r="C22" s="167"/>
      <c r="D22" s="168"/>
      <c r="E22" s="24" t="s">
        <v>84</v>
      </c>
      <c r="F22" s="173">
        <f>+LK.08!G27</f>
        <v>12731494.92</v>
      </c>
      <c r="G22" s="26"/>
      <c r="H22" s="10"/>
    </row>
    <row r="23" ht="21" spans="2:8">
      <c r="B23" s="5"/>
      <c r="C23" s="167"/>
      <c r="D23" s="168"/>
      <c r="E23" s="177" t="s">
        <v>80</v>
      </c>
      <c r="F23" s="173">
        <f>+LK.09!G28</f>
        <v>17164618.43</v>
      </c>
      <c r="G23" s="26"/>
      <c r="H23" s="10"/>
    </row>
    <row r="24" ht="21" spans="2:8">
      <c r="B24" s="5"/>
      <c r="C24" s="167"/>
      <c r="D24" s="168"/>
      <c r="E24" s="177" t="s">
        <v>85</v>
      </c>
      <c r="F24" s="173">
        <f>+LK.10!F27</f>
        <v>14763003</v>
      </c>
      <c r="G24" s="26"/>
      <c r="H24" s="10"/>
    </row>
    <row r="25" ht="21" spans="2:8">
      <c r="B25" s="5"/>
      <c r="C25" s="167"/>
      <c r="D25" s="168"/>
      <c r="E25" s="177" t="s">
        <v>90</v>
      </c>
      <c r="F25" s="173">
        <f>+LK.11!F28</f>
        <v>2128500</v>
      </c>
      <c r="G25" s="26"/>
      <c r="H25" s="10"/>
    </row>
    <row r="26" ht="21" spans="2:8">
      <c r="B26" s="5"/>
      <c r="C26" s="167"/>
      <c r="D26" s="168"/>
      <c r="E26" s="177" t="s">
        <v>100</v>
      </c>
      <c r="F26" s="173">
        <f>+LK.12!F29</f>
        <v>6183527.85</v>
      </c>
      <c r="G26" s="26"/>
      <c r="H26" s="10"/>
    </row>
    <row r="27" ht="21" spans="2:8">
      <c r="B27" s="5"/>
      <c r="C27" s="167"/>
      <c r="D27" s="168"/>
      <c r="E27" s="177" t="s">
        <v>101</v>
      </c>
      <c r="F27" s="173">
        <f>+LK.13!F30</f>
        <v>9217851</v>
      </c>
      <c r="G27" s="26"/>
      <c r="H27" s="10"/>
    </row>
    <row r="28" ht="21.75" spans="2:8">
      <c r="B28" s="5"/>
      <c r="C28" s="178"/>
      <c r="D28" s="179"/>
      <c r="E28" s="180" t="s">
        <v>112</v>
      </c>
      <c r="F28" s="181">
        <f>+LK.14!F31</f>
        <v>17318099.55</v>
      </c>
      <c r="G28" s="64"/>
      <c r="H28" s="10"/>
    </row>
    <row r="29" ht="22.5" spans="2:8">
      <c r="B29" s="5"/>
      <c r="C29" s="65"/>
      <c r="D29" s="66"/>
      <c r="E29" s="67" t="s">
        <v>18</v>
      </c>
      <c r="F29" s="68">
        <f>SUM(F15:F28)</f>
        <v>116586045.75</v>
      </c>
      <c r="G29" s="69">
        <f>G10-F29</f>
        <v>636544547.305</v>
      </c>
      <c r="H29" s="10"/>
    </row>
    <row r="30" ht="21.75" spans="2:8">
      <c r="B30" s="5"/>
      <c r="C30" s="174" t="s">
        <v>19</v>
      </c>
      <c r="D30" s="182"/>
      <c r="E30" s="182"/>
      <c r="F30" s="183"/>
      <c r="G30" s="60"/>
      <c r="H30" s="10"/>
    </row>
    <row r="31" ht="21" spans="2:8">
      <c r="B31" s="5"/>
      <c r="C31" s="167" t="s">
        <v>20</v>
      </c>
      <c r="D31" s="184" t="s">
        <v>95</v>
      </c>
      <c r="E31" s="184" t="s">
        <v>22</v>
      </c>
      <c r="F31" s="25"/>
      <c r="G31" s="26"/>
      <c r="H31" s="10"/>
    </row>
    <row r="32" ht="21" spans="2:8">
      <c r="B32" s="5"/>
      <c r="C32" s="185">
        <v>44875</v>
      </c>
      <c r="D32" s="168" t="s">
        <v>23</v>
      </c>
      <c r="E32" s="186" t="s">
        <v>113</v>
      </c>
      <c r="F32" s="187">
        <v>11261192</v>
      </c>
      <c r="G32" s="26"/>
      <c r="H32" s="10"/>
    </row>
    <row r="33" ht="21" spans="2:12">
      <c r="B33" s="5"/>
      <c r="C33" s="185"/>
      <c r="D33" s="168"/>
      <c r="E33" s="94" t="s">
        <v>114</v>
      </c>
      <c r="F33" s="188">
        <v>11261192</v>
      </c>
      <c r="G33" s="26"/>
      <c r="H33" s="10"/>
      <c r="L33" s="142">
        <f>12788454.25-F32</f>
        <v>1527262.25</v>
      </c>
    </row>
    <row r="34" ht="20.25" spans="2:13">
      <c r="B34" s="5"/>
      <c r="C34" s="23"/>
      <c r="D34" s="25"/>
      <c r="E34" s="25"/>
      <c r="F34" s="189">
        <v>0</v>
      </c>
      <c r="G34" s="26"/>
      <c r="H34" s="10"/>
      <c r="M34" s="142"/>
    </row>
    <row r="35" ht="22.5" spans="2:8">
      <c r="B35" s="5"/>
      <c r="C35" s="190"/>
      <c r="D35" s="105"/>
      <c r="E35" s="191" t="s">
        <v>25</v>
      </c>
      <c r="F35" s="192">
        <f>F32-SUM(F33:F34)</f>
        <v>0</v>
      </c>
      <c r="G35" s="108"/>
      <c r="H35" s="10"/>
    </row>
    <row r="36" ht="20.25" spans="2:8">
      <c r="B36" s="5"/>
      <c r="C36" s="109"/>
      <c r="D36" s="66"/>
      <c r="E36" s="66"/>
      <c r="F36" s="66"/>
      <c r="G36" s="110"/>
      <c r="H36" s="10"/>
    </row>
    <row r="37" ht="21.75" spans="2:8">
      <c r="B37" s="5"/>
      <c r="C37" s="111" t="s">
        <v>26</v>
      </c>
      <c r="D37" s="112"/>
      <c r="E37" s="112"/>
      <c r="F37" s="113">
        <f>F29+F32</f>
        <v>127847237.75</v>
      </c>
      <c r="G37" s="114">
        <f>G10-F37</f>
        <v>625283355.305</v>
      </c>
      <c r="H37" s="10"/>
    </row>
    <row r="38" ht="21" spans="2:8">
      <c r="B38" s="5"/>
      <c r="C38" s="115" t="s">
        <v>27</v>
      </c>
      <c r="D38" s="116"/>
      <c r="E38" s="34"/>
      <c r="F38" s="117"/>
      <c r="G38" s="56"/>
      <c r="H38" s="10"/>
    </row>
    <row r="39" ht="22.5" spans="2:8">
      <c r="B39" s="5"/>
      <c r="C39" s="118" t="s">
        <v>28</v>
      </c>
      <c r="D39" s="119" t="s">
        <v>1</v>
      </c>
      <c r="E39" s="120">
        <f>F35</f>
        <v>0</v>
      </c>
      <c r="F39" s="117"/>
      <c r="G39" s="56"/>
      <c r="H39" s="10"/>
    </row>
    <row r="40" ht="21" spans="2:8">
      <c r="B40" s="5"/>
      <c r="C40" s="118" t="s">
        <v>29</v>
      </c>
      <c r="D40" s="119" t="s">
        <v>1</v>
      </c>
      <c r="E40" s="121" t="s">
        <v>30</v>
      </c>
      <c r="F40" s="117"/>
      <c r="G40" s="56"/>
      <c r="H40" s="10"/>
    </row>
    <row r="41" ht="21" spans="2:8">
      <c r="B41" s="5"/>
      <c r="C41" s="122" t="s">
        <v>31</v>
      </c>
      <c r="D41" s="123" t="s">
        <v>1</v>
      </c>
      <c r="E41" s="124" t="s">
        <v>32</v>
      </c>
      <c r="F41" s="125" t="s">
        <v>50</v>
      </c>
      <c r="G41" s="126"/>
      <c r="H41" s="10"/>
    </row>
    <row r="42" ht="6" customHeight="1" spans="2:8">
      <c r="B42" s="127"/>
      <c r="C42" s="128"/>
      <c r="D42" s="128"/>
      <c r="E42" s="128"/>
      <c r="F42" s="128"/>
      <c r="G42" s="128"/>
      <c r="H42" s="129"/>
    </row>
    <row r="43" ht="19.5" spans="3:7">
      <c r="C43" s="130"/>
      <c r="D43" s="130"/>
      <c r="E43" s="130"/>
      <c r="F43" s="130"/>
      <c r="G43" s="130"/>
    </row>
    <row r="44" ht="19.5" spans="3:7">
      <c r="C44" s="131" t="s">
        <v>34</v>
      </c>
      <c r="D44" s="132"/>
      <c r="E44" s="133"/>
      <c r="F44" s="134"/>
      <c r="G44" s="130"/>
    </row>
    <row r="45" ht="19.5" spans="3:7">
      <c r="C45" s="131"/>
      <c r="D45" s="132"/>
      <c r="E45" s="133"/>
      <c r="F45" s="135" t="s">
        <v>35</v>
      </c>
      <c r="G45" s="136">
        <v>15000000</v>
      </c>
    </row>
    <row r="46" ht="19.5" spans="3:7">
      <c r="C46" s="131" t="s">
        <v>36</v>
      </c>
      <c r="D46" s="132"/>
      <c r="E46" s="133">
        <v>75313059305.5</v>
      </c>
      <c r="F46" s="137" t="s">
        <v>37</v>
      </c>
      <c r="G46" s="138"/>
    </row>
    <row r="47" ht="19.5" spans="3:7">
      <c r="C47" s="139">
        <v>0.01</v>
      </c>
      <c r="D47" s="132"/>
      <c r="E47" s="133">
        <f>E46*C47</f>
        <v>753130593.055</v>
      </c>
      <c r="F47" s="137" t="s">
        <v>38</v>
      </c>
      <c r="G47" s="140"/>
    </row>
    <row r="48" ht="19.5" spans="3:7">
      <c r="C48" s="130"/>
      <c r="D48" s="130"/>
      <c r="E48" s="130"/>
      <c r="F48" s="130"/>
      <c r="G48" s="130"/>
    </row>
    <row r="49" ht="19.5" spans="3:7">
      <c r="C49" s="130"/>
      <c r="D49" s="130"/>
      <c r="E49" s="130"/>
      <c r="F49" s="130"/>
      <c r="G49" s="130"/>
    </row>
  </sheetData>
  <mergeCells count="8">
    <mergeCell ref="C9:E9"/>
    <mergeCell ref="C11:E11"/>
    <mergeCell ref="D12:E12"/>
    <mergeCell ref="D13:E13"/>
    <mergeCell ref="C14:E14"/>
    <mergeCell ref="C30:E30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7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workbookViewId="0">
      <selection activeCell="D20" sqref="D20:E20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135524571.75</v>
      </c>
      <c r="H5" s="10"/>
    </row>
    <row r="6" ht="22.5" spans="2:8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617606021.305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0.820051697541249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154" t="s">
        <v>130</v>
      </c>
      <c r="D20" s="155" t="s">
        <v>131</v>
      </c>
      <c r="E20" s="156"/>
      <c r="F20" s="157">
        <f>+LK.15!F32</f>
        <v>11261192</v>
      </c>
      <c r="G20" s="26"/>
      <c r="H20" s="10"/>
    </row>
    <row r="21" ht="5.4" customHeight="1" spans="2:8">
      <c r="B21" s="5"/>
      <c r="C21" s="61"/>
      <c r="D21" s="62"/>
      <c r="E21" s="62"/>
      <c r="F21" s="63"/>
      <c r="G21" s="64"/>
      <c r="H21" s="10"/>
    </row>
    <row r="22" ht="22.5" spans="2:8">
      <c r="B22" s="5"/>
      <c r="C22" s="65"/>
      <c r="D22" s="66"/>
      <c r="E22" s="67" t="s">
        <v>18</v>
      </c>
      <c r="F22" s="68">
        <f>SUM(F12:F20)</f>
        <v>127847237.75</v>
      </c>
      <c r="G22" s="69">
        <f>G4-F22</f>
        <v>625283355.305</v>
      </c>
      <c r="H22" s="10"/>
    </row>
    <row r="23" ht="5.4" customHeight="1" spans="2:8">
      <c r="B23" s="5"/>
      <c r="C23" s="70"/>
      <c r="D23" s="71"/>
      <c r="E23" s="72"/>
      <c r="F23" s="73"/>
      <c r="G23" s="74"/>
      <c r="H23" s="10"/>
    </row>
    <row r="24" ht="22.5" spans="2:8">
      <c r="B24" s="5"/>
      <c r="C24" s="75"/>
      <c r="D24" s="28" t="s">
        <v>132</v>
      </c>
      <c r="E24" s="76"/>
      <c r="F24" s="77">
        <v>0</v>
      </c>
      <c r="G24" s="78"/>
      <c r="H24" s="10"/>
    </row>
    <row r="25" ht="6" customHeight="1" spans="2:8">
      <c r="B25" s="5"/>
      <c r="C25" s="75"/>
      <c r="D25" s="28"/>
      <c r="E25" s="76"/>
      <c r="F25" s="77"/>
      <c r="G25" s="78"/>
      <c r="H25" s="10"/>
    </row>
    <row r="26" ht="21" spans="2:8">
      <c r="B26" s="5"/>
      <c r="C26" s="79" t="s">
        <v>20</v>
      </c>
      <c r="D26" s="80" t="s">
        <v>133</v>
      </c>
      <c r="E26" s="81"/>
      <c r="F26" s="82" t="s">
        <v>134</v>
      </c>
      <c r="G26" s="83" t="s">
        <v>135</v>
      </c>
      <c r="H26" s="10"/>
    </row>
    <row r="27" ht="21" spans="2:8">
      <c r="B27" s="5"/>
      <c r="C27" s="79"/>
      <c r="D27" s="152" t="s">
        <v>136</v>
      </c>
      <c r="E27" s="85"/>
      <c r="F27" s="86">
        <v>0</v>
      </c>
      <c r="G27" s="87">
        <v>0</v>
      </c>
      <c r="H27" s="10"/>
    </row>
    <row r="28" ht="21" spans="2:12">
      <c r="B28" s="5"/>
      <c r="C28" s="93" t="s">
        <v>137</v>
      </c>
      <c r="D28" s="91" t="s">
        <v>138</v>
      </c>
      <c r="E28" s="92"/>
      <c r="F28" s="161">
        <v>1527262.25</v>
      </c>
      <c r="G28" s="87">
        <v>0</v>
      </c>
      <c r="H28" s="10"/>
      <c r="L28" s="142"/>
    </row>
    <row r="29" ht="21" spans="2:12">
      <c r="B29" s="5"/>
      <c r="C29" s="93" t="s">
        <v>139</v>
      </c>
      <c r="D29" s="91" t="s">
        <v>140</v>
      </c>
      <c r="E29" s="92"/>
      <c r="F29" s="161">
        <v>6150071.75</v>
      </c>
      <c r="G29" s="162">
        <v>8849928.25</v>
      </c>
      <c r="H29" s="10"/>
      <c r="L29" s="142">
        <f>15000000-F29</f>
        <v>8849928.25</v>
      </c>
    </row>
    <row r="30" ht="7.8" customHeight="1" spans="2:12">
      <c r="B30" s="5"/>
      <c r="C30" s="93"/>
      <c r="D30" s="94"/>
      <c r="E30" s="95"/>
      <c r="F30" s="96"/>
      <c r="G30" s="97"/>
      <c r="H30" s="10"/>
      <c r="L30" s="142"/>
    </row>
    <row r="31" ht="19.2" customHeight="1" spans="2:12">
      <c r="B31" s="5"/>
      <c r="C31" s="79" t="s">
        <v>20</v>
      </c>
      <c r="D31" s="98" t="s">
        <v>141</v>
      </c>
      <c r="E31" s="81"/>
      <c r="F31" s="82"/>
      <c r="G31" s="99"/>
      <c r="H31" s="10"/>
      <c r="L31" s="142"/>
    </row>
    <row r="32" ht="22.5" spans="2:8">
      <c r="B32" s="5"/>
      <c r="C32" s="93">
        <v>44881</v>
      </c>
      <c r="D32" s="151" t="s">
        <v>142</v>
      </c>
      <c r="E32" s="101"/>
      <c r="F32" s="102">
        <v>7677334</v>
      </c>
      <c r="G32" s="103"/>
      <c r="H32" s="10"/>
    </row>
    <row r="33" ht="22.5" spans="2:8">
      <c r="B33" s="5"/>
      <c r="C33" s="104"/>
      <c r="D33" s="105"/>
      <c r="E33" s="106" t="s">
        <v>25</v>
      </c>
      <c r="F33" s="107">
        <f>F32-SUM(F28:F29)</f>
        <v>0</v>
      </c>
      <c r="G33" s="108"/>
      <c r="H33" s="10"/>
    </row>
    <row r="34" ht="10.2" customHeight="1" spans="2:8">
      <c r="B34" s="5"/>
      <c r="C34" s="109"/>
      <c r="D34" s="66"/>
      <c r="E34" s="66"/>
      <c r="F34" s="66"/>
      <c r="G34" s="110"/>
      <c r="H34" s="10"/>
    </row>
    <row r="35" ht="21.75" spans="2:8">
      <c r="B35" s="5"/>
      <c r="C35" s="111" t="s">
        <v>26</v>
      </c>
      <c r="D35" s="112"/>
      <c r="E35" s="112"/>
      <c r="F35" s="113">
        <f>F22+F32</f>
        <v>135524571.75</v>
      </c>
      <c r="G35" s="114">
        <f>G4-F35</f>
        <v>617606021.305</v>
      </c>
      <c r="H35" s="10"/>
    </row>
    <row r="36" ht="21" spans="2:8">
      <c r="B36" s="5"/>
      <c r="C36" s="115" t="s">
        <v>27</v>
      </c>
      <c r="D36" s="116"/>
      <c r="E36" s="34"/>
      <c r="F36" s="117"/>
      <c r="G36" s="56"/>
      <c r="H36" s="10"/>
    </row>
    <row r="37" ht="22.5" spans="2:8">
      <c r="B37" s="5"/>
      <c r="C37" s="118" t="s">
        <v>28</v>
      </c>
      <c r="D37" s="119" t="s">
        <v>1</v>
      </c>
      <c r="E37" s="120">
        <f>F33</f>
        <v>0</v>
      </c>
      <c r="F37" s="117"/>
      <c r="G37" s="56"/>
      <c r="H37" s="10"/>
    </row>
    <row r="38" ht="21" spans="2:8">
      <c r="B38" s="5"/>
      <c r="C38" s="118" t="s">
        <v>29</v>
      </c>
      <c r="D38" s="119" t="s">
        <v>1</v>
      </c>
      <c r="E38" s="121" t="s">
        <v>30</v>
      </c>
      <c r="F38" s="117"/>
      <c r="G38" s="56"/>
      <c r="H38" s="10"/>
    </row>
    <row r="39" ht="21" spans="2:8">
      <c r="B39" s="5"/>
      <c r="C39" s="122" t="s">
        <v>31</v>
      </c>
      <c r="D39" s="123" t="s">
        <v>1</v>
      </c>
      <c r="E39" s="124" t="s">
        <v>32</v>
      </c>
      <c r="F39" s="125" t="s">
        <v>50</v>
      </c>
      <c r="G39" s="126"/>
      <c r="H39" s="10"/>
    </row>
    <row r="40" ht="6" customHeight="1" spans="2:8">
      <c r="B40" s="127"/>
      <c r="C40" s="128"/>
      <c r="D40" s="128"/>
      <c r="E40" s="128"/>
      <c r="F40" s="128"/>
      <c r="G40" s="128"/>
      <c r="H40" s="129"/>
    </row>
    <row r="41" ht="19.5" spans="3:7">
      <c r="C41" s="130"/>
      <c r="D41" s="130"/>
      <c r="E41" s="130"/>
      <c r="F41" s="130"/>
      <c r="G41" s="130"/>
    </row>
    <row r="42" ht="19.5" spans="3:7">
      <c r="C42" s="131" t="s">
        <v>34</v>
      </c>
      <c r="D42" s="132"/>
      <c r="E42" s="133"/>
      <c r="F42" s="134"/>
      <c r="G42" s="130"/>
    </row>
    <row r="43" ht="19.5" spans="3:7">
      <c r="C43" s="131"/>
      <c r="D43" s="132"/>
      <c r="E43" s="133"/>
      <c r="F43" s="135" t="s">
        <v>35</v>
      </c>
      <c r="G43" s="136">
        <v>15000000</v>
      </c>
    </row>
    <row r="44" ht="19.5" spans="3:7">
      <c r="C44" s="131" t="s">
        <v>36</v>
      </c>
      <c r="D44" s="132"/>
      <c r="E44" s="133">
        <v>75313059305.5</v>
      </c>
      <c r="F44" s="137" t="s">
        <v>37</v>
      </c>
      <c r="G44" s="138"/>
    </row>
    <row r="45" ht="19.5" spans="3:7">
      <c r="C45" s="139">
        <v>0.01</v>
      </c>
      <c r="D45" s="132"/>
      <c r="E45" s="133">
        <f>E44*C45</f>
        <v>753130593.055</v>
      </c>
      <c r="F45" s="137" t="s">
        <v>38</v>
      </c>
      <c r="G45" s="140"/>
    </row>
    <row r="46" ht="19.5" spans="3:7">
      <c r="C46" s="130"/>
      <c r="D46" s="130"/>
      <c r="E46" s="130"/>
      <c r="F46" s="130"/>
      <c r="G46" s="130"/>
    </row>
    <row r="47" ht="19.5" spans="3:7">
      <c r="C47" s="130"/>
      <c r="D47" s="130"/>
      <c r="E47" s="130"/>
      <c r="F47" s="130"/>
      <c r="G47" s="130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4:E24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2" workbookViewId="0">
      <selection activeCell="F28" sqref="F28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142065571.75</v>
      </c>
      <c r="H5" s="10"/>
    </row>
    <row r="6" ht="22.5" spans="2:8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611065021.305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0.811366616812464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154" t="s">
        <v>145</v>
      </c>
      <c r="D20" s="155" t="s">
        <v>146</v>
      </c>
      <c r="E20" s="156"/>
      <c r="F20" s="157">
        <f>+LK.15!F32+LK.16!F32</f>
        <v>18938526</v>
      </c>
      <c r="G20" s="60"/>
      <c r="H20" s="10"/>
    </row>
    <row r="21" ht="20.25" spans="2:8">
      <c r="B21" s="5"/>
      <c r="C21" s="75"/>
      <c r="D21" s="158" t="s">
        <v>147</v>
      </c>
      <c r="E21" s="159"/>
      <c r="F21" s="75"/>
      <c r="G21" s="26"/>
      <c r="H21" s="10"/>
    </row>
    <row r="22" ht="5.4" customHeight="1" spans="2:8">
      <c r="B22" s="5"/>
      <c r="C22" s="61"/>
      <c r="D22" s="62"/>
      <c r="E22" s="62"/>
      <c r="F22" s="63"/>
      <c r="G22" s="64"/>
      <c r="H22" s="10"/>
    </row>
    <row r="23" ht="22.5" spans="2:8">
      <c r="B23" s="5"/>
      <c r="C23" s="65"/>
      <c r="D23" s="66"/>
      <c r="E23" s="67" t="s">
        <v>18</v>
      </c>
      <c r="F23" s="68">
        <f>SUM(F12:F21)</f>
        <v>135524571.75</v>
      </c>
      <c r="G23" s="69">
        <f>G4-F23</f>
        <v>617606021.305</v>
      </c>
      <c r="H23" s="10"/>
    </row>
    <row r="24" ht="5.4" customHeight="1" spans="2:8">
      <c r="B24" s="5"/>
      <c r="C24" s="70"/>
      <c r="D24" s="71"/>
      <c r="E24" s="72"/>
      <c r="F24" s="73"/>
      <c r="G24" s="74"/>
      <c r="H24" s="10"/>
    </row>
    <row r="25" ht="22.5" spans="2:8">
      <c r="B25" s="5"/>
      <c r="C25" s="75"/>
      <c r="D25" s="28" t="s">
        <v>132</v>
      </c>
      <c r="E25" s="76"/>
      <c r="F25" s="77">
        <v>0</v>
      </c>
      <c r="G25" s="78"/>
      <c r="H25" s="10"/>
    </row>
    <row r="26" ht="6" customHeight="1" spans="2:8">
      <c r="B26" s="5"/>
      <c r="C26" s="75"/>
      <c r="D26" s="28"/>
      <c r="E26" s="76"/>
      <c r="F26" s="77"/>
      <c r="G26" s="78"/>
      <c r="H26" s="10"/>
    </row>
    <row r="27" ht="21" spans="2:8">
      <c r="B27" s="5"/>
      <c r="C27" s="79" t="s">
        <v>20</v>
      </c>
      <c r="D27" s="80" t="s">
        <v>133</v>
      </c>
      <c r="E27" s="81"/>
      <c r="F27" s="82" t="s">
        <v>134</v>
      </c>
      <c r="G27" s="83" t="s">
        <v>135</v>
      </c>
      <c r="H27" s="10"/>
    </row>
    <row r="28" ht="21" spans="2:8">
      <c r="B28" s="5"/>
      <c r="C28" s="79"/>
      <c r="D28" s="152" t="s">
        <v>148</v>
      </c>
      <c r="E28" s="85"/>
      <c r="F28" s="86">
        <v>0</v>
      </c>
      <c r="G28" s="87">
        <v>0</v>
      </c>
      <c r="H28" s="10"/>
    </row>
    <row r="29" ht="21" spans="2:12">
      <c r="B29" s="5"/>
      <c r="C29" s="93" t="s">
        <v>139</v>
      </c>
      <c r="D29" s="91" t="s">
        <v>149</v>
      </c>
      <c r="E29" s="92"/>
      <c r="F29" s="161">
        <v>6541000</v>
      </c>
      <c r="G29" s="162">
        <v>2308928.25</v>
      </c>
      <c r="H29" s="10"/>
      <c r="L29" s="142">
        <f>15000000-F29</f>
        <v>8459000</v>
      </c>
    </row>
    <row r="30" ht="7.8" customHeight="1" spans="2:12">
      <c r="B30" s="5"/>
      <c r="C30" s="93"/>
      <c r="D30" s="94"/>
      <c r="E30" s="95"/>
      <c r="F30" s="96"/>
      <c r="G30" s="97"/>
      <c r="H30" s="10"/>
      <c r="L30" s="142"/>
    </row>
    <row r="31" ht="19.2" customHeight="1" spans="2:12">
      <c r="B31" s="5"/>
      <c r="C31" s="79" t="s">
        <v>20</v>
      </c>
      <c r="D31" s="98" t="s">
        <v>141</v>
      </c>
      <c r="E31" s="81"/>
      <c r="F31" s="82"/>
      <c r="G31" s="99"/>
      <c r="H31" s="10"/>
      <c r="L31" s="142"/>
    </row>
    <row r="32" ht="22.5" spans="2:12">
      <c r="B32" s="5"/>
      <c r="C32" s="93">
        <v>44909</v>
      </c>
      <c r="D32" s="151" t="s">
        <v>150</v>
      </c>
      <c r="E32" s="101"/>
      <c r="F32" s="102">
        <v>6541000</v>
      </c>
      <c r="G32" s="103"/>
      <c r="H32" s="10"/>
      <c r="L32" s="1">
        <f>114500000+14000000</f>
        <v>128500000</v>
      </c>
    </row>
    <row r="33" ht="22.5" spans="2:8">
      <c r="B33" s="5"/>
      <c r="C33" s="104"/>
      <c r="D33" s="105"/>
      <c r="E33" s="106" t="s">
        <v>25</v>
      </c>
      <c r="F33" s="107">
        <f>F32-SUM(F29:F29)</f>
        <v>0</v>
      </c>
      <c r="G33" s="108"/>
      <c r="H33" s="10"/>
    </row>
    <row r="34" ht="10.2" customHeight="1" spans="2:8">
      <c r="B34" s="5"/>
      <c r="C34" s="109"/>
      <c r="D34" s="66"/>
      <c r="E34" s="66"/>
      <c r="F34" s="66"/>
      <c r="G34" s="110"/>
      <c r="H34" s="10"/>
    </row>
    <row r="35" ht="21.75" spans="2:12">
      <c r="B35" s="5"/>
      <c r="C35" s="111" t="s">
        <v>26</v>
      </c>
      <c r="D35" s="112"/>
      <c r="E35" s="112"/>
      <c r="F35" s="113">
        <f>F23+F32</f>
        <v>142065571.75</v>
      </c>
      <c r="G35" s="114">
        <f>G4-F35</f>
        <v>611065021.305</v>
      </c>
      <c r="H35" s="10"/>
      <c r="L35" s="1">
        <f>15000000-6541000-6150071.75</f>
        <v>2308928.25</v>
      </c>
    </row>
    <row r="36" ht="21" spans="2:8">
      <c r="B36" s="5"/>
      <c r="C36" s="115" t="s">
        <v>27</v>
      </c>
      <c r="D36" s="116"/>
      <c r="E36" s="34"/>
      <c r="F36" s="117"/>
      <c r="G36" s="56"/>
      <c r="H36" s="10"/>
    </row>
    <row r="37" ht="22.5" spans="2:8">
      <c r="B37" s="5"/>
      <c r="C37" s="118" t="s">
        <v>28</v>
      </c>
      <c r="D37" s="119" t="s">
        <v>1</v>
      </c>
      <c r="E37" s="120">
        <f>F33</f>
        <v>0</v>
      </c>
      <c r="F37" s="117"/>
      <c r="G37" s="56"/>
      <c r="H37" s="10"/>
    </row>
    <row r="38" ht="21" spans="2:8">
      <c r="B38" s="5"/>
      <c r="C38" s="118" t="s">
        <v>29</v>
      </c>
      <c r="D38" s="119" t="s">
        <v>1</v>
      </c>
      <c r="E38" s="121" t="s">
        <v>30</v>
      </c>
      <c r="F38" s="117"/>
      <c r="G38" s="56"/>
      <c r="H38" s="10"/>
    </row>
    <row r="39" ht="21" spans="2:8">
      <c r="B39" s="5"/>
      <c r="C39" s="122" t="s">
        <v>31</v>
      </c>
      <c r="D39" s="123" t="s">
        <v>1</v>
      </c>
      <c r="E39" s="124" t="s">
        <v>32</v>
      </c>
      <c r="F39" s="125" t="s">
        <v>50</v>
      </c>
      <c r="G39" s="126"/>
      <c r="H39" s="10"/>
    </row>
    <row r="40" ht="6" customHeight="1" spans="2:8">
      <c r="B40" s="127"/>
      <c r="C40" s="128"/>
      <c r="D40" s="128"/>
      <c r="E40" s="128"/>
      <c r="F40" s="128"/>
      <c r="G40" s="128"/>
      <c r="H40" s="129"/>
    </row>
    <row r="41" ht="19.5" spans="3:7">
      <c r="C41" s="130"/>
      <c r="D41" s="130"/>
      <c r="E41" s="130"/>
      <c r="F41" s="130"/>
      <c r="G41" s="130"/>
    </row>
    <row r="42" ht="19.5" spans="3:7">
      <c r="C42" s="131" t="s">
        <v>34</v>
      </c>
      <c r="D42" s="132"/>
      <c r="E42" s="133"/>
      <c r="F42" s="134"/>
      <c r="G42" s="130"/>
    </row>
    <row r="43" ht="19.5" spans="3:7">
      <c r="C43" s="131"/>
      <c r="D43" s="132"/>
      <c r="E43" s="133"/>
      <c r="F43" s="135" t="s">
        <v>35</v>
      </c>
      <c r="G43" s="136">
        <v>15000000</v>
      </c>
    </row>
    <row r="44" ht="19.5" spans="3:7">
      <c r="C44" s="131" t="s">
        <v>36</v>
      </c>
      <c r="D44" s="132"/>
      <c r="E44" s="133">
        <v>75313059305.5</v>
      </c>
      <c r="F44" s="137" t="s">
        <v>37</v>
      </c>
      <c r="G44" s="138"/>
    </row>
    <row r="45" ht="19.5" spans="3:7">
      <c r="C45" s="139">
        <v>0.01</v>
      </c>
      <c r="D45" s="132"/>
      <c r="E45" s="133">
        <f>E44*C45</f>
        <v>753130593.055</v>
      </c>
      <c r="F45" s="137" t="s">
        <v>38</v>
      </c>
      <c r="G45" s="140"/>
    </row>
    <row r="46" ht="19.5" spans="3:7">
      <c r="C46" s="130"/>
      <c r="D46" s="130"/>
      <c r="E46" s="130"/>
      <c r="F46" s="130"/>
      <c r="G46" s="130"/>
    </row>
    <row r="47" ht="19.5" spans="3:7">
      <c r="C47" s="130"/>
      <c r="D47" s="130"/>
      <c r="E47" s="130"/>
      <c r="F47" s="130"/>
      <c r="G47" s="130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topLeftCell="A4" workbookViewId="0">
      <selection activeCell="G31" sqref="G3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151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157955671.75</v>
      </c>
      <c r="H5" s="10"/>
    </row>
    <row r="6" ht="22.5" spans="2:8">
      <c r="B6" s="5"/>
      <c r="C6" s="11" t="s">
        <v>7</v>
      </c>
      <c r="D6" s="12" t="s">
        <v>1</v>
      </c>
      <c r="E6" s="15" t="s">
        <v>152</v>
      </c>
      <c r="F6" s="11" t="s">
        <v>9</v>
      </c>
      <c r="G6" s="14">
        <f>G4-G5</f>
        <v>595174921.305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0.790267885534608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154" t="s">
        <v>145</v>
      </c>
      <c r="D20" s="155" t="s">
        <v>146</v>
      </c>
      <c r="E20" s="156"/>
      <c r="F20" s="157">
        <f>+LK.15!F32+LK.16!F32</f>
        <v>18938526</v>
      </c>
      <c r="G20" s="60"/>
      <c r="H20" s="10"/>
    </row>
    <row r="21" ht="20.25" spans="2:8">
      <c r="B21" s="5"/>
      <c r="C21" s="75"/>
      <c r="D21" s="158" t="s">
        <v>153</v>
      </c>
      <c r="E21" s="159"/>
      <c r="F21" s="75"/>
      <c r="G21" s="26"/>
      <c r="H21" s="10"/>
    </row>
    <row r="22" ht="21" spans="2:8">
      <c r="B22" s="5"/>
      <c r="C22" s="154" t="s">
        <v>154</v>
      </c>
      <c r="D22" s="160" t="s">
        <v>155</v>
      </c>
      <c r="E22" s="29"/>
      <c r="F22" s="157">
        <f>+LK.17!F32</f>
        <v>6541000</v>
      </c>
      <c r="G22" s="26"/>
      <c r="H22" s="10"/>
    </row>
    <row r="23" ht="5.4" customHeight="1" spans="2:8">
      <c r="B23" s="5"/>
      <c r="C23" s="61"/>
      <c r="D23" s="62"/>
      <c r="E23" s="62"/>
      <c r="F23" s="63"/>
      <c r="G23" s="64"/>
      <c r="H23" s="10"/>
    </row>
    <row r="24" ht="22.5" spans="2:8">
      <c r="B24" s="5"/>
      <c r="C24" s="65"/>
      <c r="D24" s="66"/>
      <c r="E24" s="67" t="s">
        <v>18</v>
      </c>
      <c r="F24" s="68">
        <f>SUM(F12:F22)</f>
        <v>142065571.75</v>
      </c>
      <c r="G24" s="69">
        <f>G4-F24</f>
        <v>611065021.305</v>
      </c>
      <c r="H24" s="10"/>
    </row>
    <row r="25" ht="5.4" customHeight="1" spans="2:8">
      <c r="B25" s="5"/>
      <c r="C25" s="70"/>
      <c r="D25" s="71"/>
      <c r="E25" s="72"/>
      <c r="F25" s="73"/>
      <c r="G25" s="74"/>
      <c r="H25" s="10"/>
    </row>
    <row r="26" ht="22.5" spans="2:8">
      <c r="B26" s="5"/>
      <c r="C26" s="75"/>
      <c r="D26" s="28" t="s">
        <v>132</v>
      </c>
      <c r="E26" s="76"/>
      <c r="F26" s="77">
        <v>0</v>
      </c>
      <c r="G26" s="78"/>
      <c r="H26" s="10"/>
    </row>
    <row r="27" ht="6" customHeight="1" spans="2:8">
      <c r="B27" s="5"/>
      <c r="C27" s="75"/>
      <c r="D27" s="28"/>
      <c r="E27" s="76"/>
      <c r="F27" s="77"/>
      <c r="G27" s="78"/>
      <c r="H27" s="10"/>
    </row>
    <row r="28" ht="21" spans="2:8">
      <c r="B28" s="5"/>
      <c r="C28" s="79" t="s">
        <v>20</v>
      </c>
      <c r="D28" s="80" t="s">
        <v>133</v>
      </c>
      <c r="E28" s="81"/>
      <c r="F28" s="82" t="s">
        <v>134</v>
      </c>
      <c r="G28" s="83" t="s">
        <v>135</v>
      </c>
      <c r="H28" s="10"/>
    </row>
    <row r="29" ht="21" spans="2:8">
      <c r="B29" s="5"/>
      <c r="C29" s="79"/>
      <c r="D29" s="152" t="s">
        <v>148</v>
      </c>
      <c r="E29" s="85"/>
      <c r="F29" s="86">
        <v>0</v>
      </c>
      <c r="G29" s="87">
        <v>0</v>
      </c>
      <c r="H29" s="10"/>
    </row>
    <row r="30" ht="21" spans="2:12">
      <c r="B30" s="5"/>
      <c r="C30" s="93" t="s">
        <v>139</v>
      </c>
      <c r="D30" s="91" t="s">
        <v>156</v>
      </c>
      <c r="E30" s="92"/>
      <c r="F30" s="161">
        <v>2308928.25</v>
      </c>
      <c r="G30" s="87">
        <v>0</v>
      </c>
      <c r="H30" s="10"/>
      <c r="L30" s="1">
        <f>17000000-13581171.75</f>
        <v>3418828.25</v>
      </c>
    </row>
    <row r="31" ht="21" spans="2:12">
      <c r="B31" s="5"/>
      <c r="C31" s="93" t="s">
        <v>157</v>
      </c>
      <c r="D31" s="91" t="s">
        <v>158</v>
      </c>
      <c r="E31" s="92"/>
      <c r="F31" s="161">
        <v>13581171.75</v>
      </c>
      <c r="G31" s="87">
        <v>3418828.25</v>
      </c>
      <c r="H31" s="10"/>
      <c r="L31" s="142">
        <f>15000000-F31</f>
        <v>1418828.25</v>
      </c>
    </row>
    <row r="32" ht="7.8" customHeight="1" spans="2:12">
      <c r="B32" s="5"/>
      <c r="C32" s="93"/>
      <c r="D32" s="94"/>
      <c r="E32" s="95"/>
      <c r="F32" s="96"/>
      <c r="G32" s="97"/>
      <c r="H32" s="10"/>
      <c r="L32" s="142"/>
    </row>
    <row r="33" ht="19.2" customHeight="1" spans="2:12">
      <c r="B33" s="5"/>
      <c r="C33" s="79" t="s">
        <v>20</v>
      </c>
      <c r="D33" s="98" t="s">
        <v>141</v>
      </c>
      <c r="E33" s="81"/>
      <c r="F33" s="82"/>
      <c r="G33" s="99"/>
      <c r="H33" s="10"/>
      <c r="L33" s="142"/>
    </row>
    <row r="34" ht="22.5" spans="2:12">
      <c r="B34" s="5"/>
      <c r="C34" s="93">
        <v>44909</v>
      </c>
      <c r="D34" s="151" t="s">
        <v>159</v>
      </c>
      <c r="E34" s="101"/>
      <c r="F34" s="102">
        <v>15890100</v>
      </c>
      <c r="G34" s="103"/>
      <c r="H34" s="10"/>
      <c r="L34" s="1">
        <f>114500000+14000000</f>
        <v>128500000</v>
      </c>
    </row>
    <row r="35" ht="22.5" spans="2:8">
      <c r="B35" s="5"/>
      <c r="C35" s="104"/>
      <c r="D35" s="105"/>
      <c r="E35" s="106" t="s">
        <v>25</v>
      </c>
      <c r="F35" s="107">
        <f>F34-SUM(F29:F31)</f>
        <v>0</v>
      </c>
      <c r="G35" s="108"/>
      <c r="H35" s="10"/>
    </row>
    <row r="36" ht="10.2" customHeight="1" spans="2:8">
      <c r="B36" s="5"/>
      <c r="C36" s="109"/>
      <c r="D36" s="66"/>
      <c r="E36" s="66"/>
      <c r="F36" s="66"/>
      <c r="G36" s="110"/>
      <c r="H36" s="10"/>
    </row>
    <row r="37" ht="21.75" spans="2:12">
      <c r="B37" s="5"/>
      <c r="C37" s="111" t="s">
        <v>26</v>
      </c>
      <c r="D37" s="112"/>
      <c r="E37" s="112"/>
      <c r="F37" s="113">
        <f>F24+F34</f>
        <v>157955671.75</v>
      </c>
      <c r="G37" s="114">
        <f>G4-F37</f>
        <v>595174921.305</v>
      </c>
      <c r="H37" s="10"/>
      <c r="L37" s="143">
        <f>6541000+6150071.75</f>
        <v>12691071.75</v>
      </c>
    </row>
    <row r="38" ht="21" spans="2:8">
      <c r="B38" s="5"/>
      <c r="C38" s="115" t="s">
        <v>27</v>
      </c>
      <c r="D38" s="116"/>
      <c r="E38" s="34"/>
      <c r="F38" s="117"/>
      <c r="G38" s="56"/>
      <c r="H38" s="10"/>
    </row>
    <row r="39" ht="22.5" spans="2:8">
      <c r="B39" s="5"/>
      <c r="C39" s="118" t="s">
        <v>28</v>
      </c>
      <c r="D39" s="119" t="s">
        <v>1</v>
      </c>
      <c r="E39" s="120">
        <f>F35</f>
        <v>0</v>
      </c>
      <c r="F39" s="117"/>
      <c r="G39" s="56"/>
      <c r="H39" s="10"/>
    </row>
    <row r="40" ht="21" spans="2:8">
      <c r="B40" s="5"/>
      <c r="C40" s="118" t="s">
        <v>29</v>
      </c>
      <c r="D40" s="119" t="s">
        <v>1</v>
      </c>
      <c r="E40" s="121" t="s">
        <v>30</v>
      </c>
      <c r="F40" s="117"/>
      <c r="G40" s="56"/>
      <c r="H40" s="10"/>
    </row>
    <row r="41" ht="21" spans="2:8">
      <c r="B41" s="5"/>
      <c r="C41" s="122" t="s">
        <v>31</v>
      </c>
      <c r="D41" s="123" t="s">
        <v>1</v>
      </c>
      <c r="E41" s="124" t="s">
        <v>32</v>
      </c>
      <c r="F41" s="125" t="s">
        <v>50</v>
      </c>
      <c r="G41" s="126"/>
      <c r="H41" s="10"/>
    </row>
    <row r="42" ht="6" customHeight="1" spans="2:8">
      <c r="B42" s="127"/>
      <c r="C42" s="128"/>
      <c r="D42" s="128"/>
      <c r="E42" s="128"/>
      <c r="F42" s="128"/>
      <c r="G42" s="128"/>
      <c r="H42" s="129"/>
    </row>
    <row r="43" ht="19.5" spans="3:7">
      <c r="C43" s="130"/>
      <c r="D43" s="130"/>
      <c r="E43" s="130"/>
      <c r="F43" s="130"/>
      <c r="G43" s="130"/>
    </row>
    <row r="44" ht="19.5" spans="3:7">
      <c r="C44" s="131" t="s">
        <v>34</v>
      </c>
      <c r="D44" s="132"/>
      <c r="E44" s="133"/>
      <c r="F44" s="134"/>
      <c r="G44" s="130"/>
    </row>
    <row r="45" ht="19.5" spans="3:7">
      <c r="C45" s="131"/>
      <c r="D45" s="132"/>
      <c r="E45" s="133"/>
      <c r="F45" s="135" t="s">
        <v>35</v>
      </c>
      <c r="G45" s="136">
        <v>15000000</v>
      </c>
    </row>
    <row r="46" ht="19.5" spans="3:7">
      <c r="C46" s="131" t="s">
        <v>36</v>
      </c>
      <c r="D46" s="132"/>
      <c r="E46" s="133">
        <v>75313059305.5</v>
      </c>
      <c r="F46" s="137" t="s">
        <v>37</v>
      </c>
      <c r="G46" s="138"/>
    </row>
    <row r="47" ht="19.5" spans="3:7">
      <c r="C47" s="139">
        <v>0.01</v>
      </c>
      <c r="D47" s="132"/>
      <c r="E47" s="133">
        <f>E46*C47</f>
        <v>753130593.055</v>
      </c>
      <c r="F47" s="137" t="s">
        <v>38</v>
      </c>
      <c r="G47" s="140"/>
    </row>
    <row r="48" ht="19.5" spans="3:7">
      <c r="C48" s="130"/>
      <c r="D48" s="130"/>
      <c r="E48" s="130"/>
      <c r="F48" s="130"/>
      <c r="G48" s="130"/>
    </row>
    <row r="49" ht="19.5" spans="3:7">
      <c r="C49" s="130"/>
      <c r="D49" s="130"/>
      <c r="E49" s="130"/>
      <c r="F49" s="130"/>
      <c r="G49" s="130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workbookViewId="0">
      <selection activeCell="J37" sqref="J3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160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168740771.75</v>
      </c>
      <c r="H5" s="10"/>
    </row>
    <row r="6" ht="22.5" spans="2:8">
      <c r="B6" s="5"/>
      <c r="C6" s="11" t="s">
        <v>7</v>
      </c>
      <c r="D6" s="12" t="s">
        <v>1</v>
      </c>
      <c r="E6" s="15" t="s">
        <v>161</v>
      </c>
      <c r="F6" s="11" t="s">
        <v>9</v>
      </c>
      <c r="G6" s="14">
        <f>G4-G5</f>
        <v>584389821.305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0.77594752715393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154" t="s">
        <v>162</v>
      </c>
      <c r="D20" s="155" t="s">
        <v>163</v>
      </c>
      <c r="E20" s="156"/>
      <c r="F20" s="157">
        <f>+LK.15!F32+LK.16!F32+LK.17!F32</f>
        <v>25479526</v>
      </c>
      <c r="G20" s="60"/>
      <c r="H20" s="10"/>
    </row>
    <row r="21" ht="20.25" spans="2:8">
      <c r="B21" s="5"/>
      <c r="C21" s="75"/>
      <c r="D21" s="158" t="s">
        <v>164</v>
      </c>
      <c r="E21" s="159"/>
      <c r="F21" s="75"/>
      <c r="G21" s="26"/>
      <c r="H21" s="10"/>
    </row>
    <row r="22" ht="21" spans="2:12">
      <c r="B22" s="5"/>
      <c r="C22" s="154" t="s">
        <v>165</v>
      </c>
      <c r="D22" s="160" t="s">
        <v>166</v>
      </c>
      <c r="E22" s="29"/>
      <c r="F22" s="157">
        <f>LK.18!F34</f>
        <v>15890100</v>
      </c>
      <c r="G22" s="26"/>
      <c r="H22" s="10"/>
      <c r="L22" s="1">
        <f>128500000+15000000</f>
        <v>143500000</v>
      </c>
    </row>
    <row r="23" ht="5.4" customHeight="1" spans="2:8">
      <c r="B23" s="5"/>
      <c r="C23" s="61"/>
      <c r="D23" s="62"/>
      <c r="E23" s="62"/>
      <c r="F23" s="63"/>
      <c r="G23" s="64"/>
      <c r="H23" s="10"/>
    </row>
    <row r="24" ht="22.5" spans="2:8">
      <c r="B24" s="5"/>
      <c r="C24" s="65"/>
      <c r="D24" s="66"/>
      <c r="E24" s="67" t="s">
        <v>18</v>
      </c>
      <c r="F24" s="68">
        <f>SUM(F12:F22)</f>
        <v>157955671.75</v>
      </c>
      <c r="G24" s="69">
        <f>G4-F24</f>
        <v>595174921.305</v>
      </c>
      <c r="H24" s="10"/>
    </row>
    <row r="25" ht="5.4" customHeight="1" spans="2:8">
      <c r="B25" s="5"/>
      <c r="C25" s="70"/>
      <c r="D25" s="71"/>
      <c r="E25" s="72"/>
      <c r="F25" s="73"/>
      <c r="G25" s="74"/>
      <c r="H25" s="10"/>
    </row>
    <row r="26" ht="22.5" spans="2:12">
      <c r="B26" s="5"/>
      <c r="C26" s="75"/>
      <c r="D26" s="28" t="s">
        <v>132</v>
      </c>
      <c r="E26" s="76"/>
      <c r="F26" s="77">
        <v>0</v>
      </c>
      <c r="G26" s="78"/>
      <c r="H26" s="10"/>
      <c r="L26" s="1">
        <f>14000000-7366271.75</f>
        <v>6633728.25</v>
      </c>
    </row>
    <row r="27" ht="6" customHeight="1" spans="2:8">
      <c r="B27" s="5"/>
      <c r="C27" s="75"/>
      <c r="D27" s="28"/>
      <c r="E27" s="76"/>
      <c r="F27" s="77"/>
      <c r="G27" s="78"/>
      <c r="H27" s="10"/>
    </row>
    <row r="28" ht="21" spans="2:8">
      <c r="B28" s="5"/>
      <c r="C28" s="79" t="s">
        <v>20</v>
      </c>
      <c r="D28" s="80" t="s">
        <v>133</v>
      </c>
      <c r="E28" s="81"/>
      <c r="F28" s="82" t="s">
        <v>134</v>
      </c>
      <c r="G28" s="83" t="s">
        <v>135</v>
      </c>
      <c r="H28" s="10"/>
    </row>
    <row r="29" ht="21" spans="2:8">
      <c r="B29" s="5"/>
      <c r="C29" s="79"/>
      <c r="D29" s="152" t="s">
        <v>167</v>
      </c>
      <c r="E29" s="85"/>
      <c r="F29" s="86">
        <v>0</v>
      </c>
      <c r="G29" s="87">
        <v>0</v>
      </c>
      <c r="H29" s="10"/>
    </row>
    <row r="30" ht="19.8" customHeight="1" spans="2:12">
      <c r="B30" s="5"/>
      <c r="C30" s="93" t="s">
        <v>157</v>
      </c>
      <c r="D30" s="91" t="s">
        <v>168</v>
      </c>
      <c r="E30" s="92"/>
      <c r="F30" s="161">
        <v>3418828.25</v>
      </c>
      <c r="G30" s="87">
        <v>0</v>
      </c>
      <c r="H30" s="10"/>
      <c r="L30" s="1">
        <f>17000000-13581171.75</f>
        <v>3418828.25</v>
      </c>
    </row>
    <row r="31" ht="21" spans="2:12">
      <c r="B31" s="5"/>
      <c r="C31" s="93" t="s">
        <v>169</v>
      </c>
      <c r="D31" s="91" t="s">
        <v>170</v>
      </c>
      <c r="E31" s="92"/>
      <c r="F31" s="86">
        <v>7366271.75</v>
      </c>
      <c r="G31" s="87">
        <v>6633728.25</v>
      </c>
      <c r="H31" s="10"/>
      <c r="L31" s="142">
        <f>15000000-F31</f>
        <v>7633728.25</v>
      </c>
    </row>
    <row r="32" ht="7.8" customHeight="1" spans="2:12">
      <c r="B32" s="5"/>
      <c r="C32" s="93"/>
      <c r="D32" s="94"/>
      <c r="E32" s="95"/>
      <c r="F32" s="96"/>
      <c r="G32" s="97"/>
      <c r="H32" s="10"/>
      <c r="L32" s="142"/>
    </row>
    <row r="33" ht="19.2" customHeight="1" spans="2:12">
      <c r="B33" s="5"/>
      <c r="C33" s="79" t="s">
        <v>20</v>
      </c>
      <c r="D33" s="98" t="s">
        <v>141</v>
      </c>
      <c r="E33" s="81"/>
      <c r="F33" s="82"/>
      <c r="G33" s="99"/>
      <c r="H33" s="10"/>
      <c r="L33" s="142"/>
    </row>
    <row r="34" ht="22.5" spans="2:12">
      <c r="B34" s="5"/>
      <c r="C34" s="93">
        <v>44909</v>
      </c>
      <c r="D34" s="151" t="s">
        <v>171</v>
      </c>
      <c r="E34" s="101"/>
      <c r="F34" s="102">
        <v>10785100</v>
      </c>
      <c r="G34" s="103"/>
      <c r="H34" s="10"/>
      <c r="L34" s="1">
        <f>114500000+14000000</f>
        <v>128500000</v>
      </c>
    </row>
    <row r="35" ht="22.5" spans="2:8">
      <c r="B35" s="5"/>
      <c r="C35" s="104"/>
      <c r="D35" s="105"/>
      <c r="E35" s="106" t="s">
        <v>25</v>
      </c>
      <c r="F35" s="107">
        <f>F34-SUM(F29:F31)</f>
        <v>0</v>
      </c>
      <c r="G35" s="108"/>
      <c r="H35" s="10"/>
    </row>
    <row r="36" ht="10.2" customHeight="1" spans="2:8">
      <c r="B36" s="5"/>
      <c r="C36" s="109"/>
      <c r="D36" s="66"/>
      <c r="E36" s="66"/>
      <c r="F36" s="66"/>
      <c r="G36" s="110"/>
      <c r="H36" s="10"/>
    </row>
    <row r="37" ht="21.75" spans="2:12">
      <c r="B37" s="5"/>
      <c r="C37" s="111" t="s">
        <v>26</v>
      </c>
      <c r="D37" s="112"/>
      <c r="E37" s="112"/>
      <c r="F37" s="113">
        <f>F24+F34</f>
        <v>168740771.75</v>
      </c>
      <c r="G37" s="114">
        <f>G4-F37</f>
        <v>584389821.305</v>
      </c>
      <c r="H37" s="10"/>
      <c r="L37" s="143">
        <f>6541000+6150071.75</f>
        <v>12691071.75</v>
      </c>
    </row>
    <row r="38" ht="21" spans="2:8">
      <c r="B38" s="5"/>
      <c r="C38" s="115" t="s">
        <v>27</v>
      </c>
      <c r="D38" s="116"/>
      <c r="E38" s="34"/>
      <c r="F38" s="117"/>
      <c r="G38" s="56"/>
      <c r="H38" s="10"/>
    </row>
    <row r="39" ht="22.5" spans="2:8">
      <c r="B39" s="5"/>
      <c r="C39" s="118" t="s">
        <v>28</v>
      </c>
      <c r="D39" s="119" t="s">
        <v>1</v>
      </c>
      <c r="E39" s="120">
        <f>F35</f>
        <v>0</v>
      </c>
      <c r="F39" s="117"/>
      <c r="G39" s="56"/>
      <c r="H39" s="10"/>
    </row>
    <row r="40" ht="21" spans="2:8">
      <c r="B40" s="5"/>
      <c r="C40" s="118" t="s">
        <v>29</v>
      </c>
      <c r="D40" s="119" t="s">
        <v>1</v>
      </c>
      <c r="E40" s="121" t="s">
        <v>30</v>
      </c>
      <c r="F40" s="117"/>
      <c r="G40" s="56"/>
      <c r="H40" s="10"/>
    </row>
    <row r="41" ht="21" spans="2:8">
      <c r="B41" s="5"/>
      <c r="C41" s="122" t="s">
        <v>31</v>
      </c>
      <c r="D41" s="123" t="s">
        <v>1</v>
      </c>
      <c r="E41" s="124" t="s">
        <v>32</v>
      </c>
      <c r="F41" s="125" t="s">
        <v>50</v>
      </c>
      <c r="G41" s="126"/>
      <c r="H41" s="10"/>
    </row>
    <row r="42" ht="6" customHeight="1" spans="2:8">
      <c r="B42" s="127"/>
      <c r="C42" s="128"/>
      <c r="D42" s="128"/>
      <c r="E42" s="128"/>
      <c r="F42" s="128"/>
      <c r="G42" s="128"/>
      <c r="H42" s="129"/>
    </row>
    <row r="43" ht="19.5" spans="3:7">
      <c r="C43" s="130"/>
      <c r="D43" s="130"/>
      <c r="E43" s="130"/>
      <c r="F43" s="130"/>
      <c r="G43" s="130"/>
    </row>
    <row r="44" ht="19.5" spans="3:7">
      <c r="C44" s="131" t="s">
        <v>34</v>
      </c>
      <c r="D44" s="132"/>
      <c r="E44" s="133"/>
      <c r="F44" s="134"/>
      <c r="G44" s="130"/>
    </row>
    <row r="45" ht="19.5" spans="3:7">
      <c r="C45" s="131"/>
      <c r="D45" s="132"/>
      <c r="E45" s="133"/>
      <c r="F45" s="135" t="s">
        <v>35</v>
      </c>
      <c r="G45" s="136">
        <v>15000000</v>
      </c>
    </row>
    <row r="46" ht="19.5" spans="3:7">
      <c r="C46" s="131" t="s">
        <v>36</v>
      </c>
      <c r="D46" s="132"/>
      <c r="E46" s="133">
        <v>75313059305.5</v>
      </c>
      <c r="F46" s="137" t="s">
        <v>37</v>
      </c>
      <c r="G46" s="138"/>
    </row>
    <row r="47" ht="19.5" spans="3:7">
      <c r="C47" s="139">
        <v>0.01</v>
      </c>
      <c r="D47" s="132"/>
      <c r="E47" s="133">
        <f>E46*C47</f>
        <v>753130593.055</v>
      </c>
      <c r="F47" s="137" t="s">
        <v>38</v>
      </c>
      <c r="G47" s="140"/>
    </row>
    <row r="48" ht="19.5" spans="3:7">
      <c r="C48" s="130"/>
      <c r="D48" s="130"/>
      <c r="E48" s="130"/>
      <c r="F48" s="130"/>
      <c r="G48" s="130"/>
    </row>
    <row r="49" ht="19.5" spans="3:7">
      <c r="C49" s="130"/>
      <c r="D49" s="130"/>
      <c r="E49" s="130"/>
      <c r="F49" s="130"/>
      <c r="G49" s="130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9"/>
  <sheetViews>
    <sheetView zoomScale="85" zoomScaleNormal="85" workbookViewId="0">
      <selection activeCell="E23" sqref="E23:G2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39</v>
      </c>
      <c r="F4" s="215" t="s">
        <v>3</v>
      </c>
      <c r="G4" s="216"/>
      <c r="H4" s="9">
        <f>+E37</f>
        <v>684614896.23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G27</f>
        <v>5874500</v>
      </c>
      <c r="I5" s="10"/>
    </row>
    <row r="6" ht="22.5" spans="2:9">
      <c r="B6" s="5"/>
      <c r="C6" s="11" t="s">
        <v>7</v>
      </c>
      <c r="D6" s="12" t="s">
        <v>1</v>
      </c>
      <c r="E6" s="15" t="s">
        <v>40</v>
      </c>
      <c r="F6" s="217" t="s">
        <v>9</v>
      </c>
      <c r="G6" s="218"/>
      <c r="H6" s="14">
        <f>H4-H5</f>
        <v>678740396.23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0.991419263541665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684614896.23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6"/>
      <c r="F16" s="130"/>
      <c r="G16" s="130"/>
      <c r="H16" s="244"/>
      <c r="I16" s="10"/>
    </row>
    <row r="17" ht="19.5" spans="2:9">
      <c r="B17" s="5"/>
      <c r="C17" s="275"/>
      <c r="D17" s="276"/>
      <c r="E17" s="276"/>
      <c r="F17" s="130"/>
      <c r="G17" s="130"/>
      <c r="H17" s="244"/>
      <c r="I17" s="10"/>
    </row>
    <row r="18" ht="19.5" spans="2:9">
      <c r="B18" s="5"/>
      <c r="C18" s="277"/>
      <c r="D18" s="130"/>
      <c r="E18" s="282" t="s">
        <v>18</v>
      </c>
      <c r="F18" s="283"/>
      <c r="G18" s="284">
        <f>SUM(G15:G17)</f>
        <v>3630500</v>
      </c>
      <c r="H18" s="285">
        <f>H10-G18</f>
        <v>680984396.23</v>
      </c>
      <c r="I18" s="10"/>
    </row>
    <row r="19" ht="19.5" spans="2:9">
      <c r="B19" s="5"/>
      <c r="C19" s="243"/>
      <c r="D19" s="130"/>
      <c r="E19" s="130"/>
      <c r="F19" s="130"/>
      <c r="G19" s="130"/>
      <c r="H19" s="244"/>
      <c r="I19" s="10"/>
    </row>
    <row r="20" ht="19.5" spans="2:9">
      <c r="B20" s="5"/>
      <c r="C20" s="275" t="s">
        <v>19</v>
      </c>
      <c r="D20" s="286"/>
      <c r="E20" s="286"/>
      <c r="F20" s="130"/>
      <c r="G20" s="130"/>
      <c r="H20" s="244"/>
      <c r="I20" s="10"/>
    </row>
    <row r="21" ht="19.5" spans="2:9">
      <c r="B21" s="5"/>
      <c r="C21" s="275" t="s">
        <v>20</v>
      </c>
      <c r="D21" s="286" t="s">
        <v>21</v>
      </c>
      <c r="E21" s="286" t="s">
        <v>22</v>
      </c>
      <c r="F21" s="130"/>
      <c r="G21" s="130"/>
      <c r="H21" s="244"/>
      <c r="I21" s="10"/>
    </row>
    <row r="22" ht="19.5" spans="2:9">
      <c r="B22" s="5"/>
      <c r="C22" s="287">
        <v>44712</v>
      </c>
      <c r="D22" s="276" t="s">
        <v>23</v>
      </c>
      <c r="E22" s="283" t="s">
        <v>39</v>
      </c>
      <c r="F22" s="283"/>
      <c r="G22" s="307">
        <v>2244000</v>
      </c>
      <c r="H22" s="244"/>
      <c r="I22" s="10"/>
    </row>
    <row r="23" ht="19.5" spans="2:9">
      <c r="B23" s="5"/>
      <c r="C23" s="287">
        <v>44673</v>
      </c>
      <c r="D23" s="276"/>
      <c r="E23" s="309" t="s">
        <v>24</v>
      </c>
      <c r="F23" s="309"/>
      <c r="G23" s="293">
        <v>1369500</v>
      </c>
      <c r="H23" s="244"/>
      <c r="I23" s="10"/>
    </row>
    <row r="24" ht="20.25" spans="2:9">
      <c r="B24" s="5"/>
      <c r="C24" s="243"/>
      <c r="D24" s="130"/>
      <c r="E24" s="130"/>
      <c r="F24" s="130"/>
      <c r="G24" s="295">
        <v>0</v>
      </c>
      <c r="H24" s="244"/>
      <c r="I24" s="10"/>
    </row>
    <row r="25" ht="20.25" spans="2:9">
      <c r="B25" s="5"/>
      <c r="C25" s="243"/>
      <c r="D25" s="130"/>
      <c r="E25" s="296" t="s">
        <v>25</v>
      </c>
      <c r="F25" s="130"/>
      <c r="G25" s="310">
        <f>G22-SUM(G23:G24)</f>
        <v>874500</v>
      </c>
      <c r="H25" s="244"/>
      <c r="I25" s="10"/>
    </row>
    <row r="26" ht="20.25" spans="2:9">
      <c r="B26" s="5"/>
      <c r="C26" s="109"/>
      <c r="D26" s="66"/>
      <c r="E26" s="66"/>
      <c r="F26" s="66"/>
      <c r="G26" s="66"/>
      <c r="H26" s="110"/>
      <c r="I26" s="10"/>
    </row>
    <row r="27" ht="20.25" spans="2:9">
      <c r="B27" s="5"/>
      <c r="C27" s="258" t="s">
        <v>26</v>
      </c>
      <c r="D27" s="259"/>
      <c r="E27" s="259"/>
      <c r="F27" s="71"/>
      <c r="G27" s="260">
        <f>G18+G22</f>
        <v>5874500</v>
      </c>
      <c r="H27" s="261">
        <f>H10-G27</f>
        <v>678740396.23</v>
      </c>
      <c r="I27" s="10"/>
    </row>
    <row r="28" ht="19.5" spans="2:9">
      <c r="B28" s="5"/>
      <c r="C28" s="262" t="s">
        <v>27</v>
      </c>
      <c r="D28" s="263"/>
      <c r="E28" s="264"/>
      <c r="F28" s="130"/>
      <c r="G28" s="130"/>
      <c r="H28" s="244"/>
      <c r="I28" s="10"/>
    </row>
    <row r="29" ht="19.5" spans="2:9">
      <c r="B29" s="5"/>
      <c r="C29" s="265" t="s">
        <v>28</v>
      </c>
      <c r="D29" s="266" t="s">
        <v>1</v>
      </c>
      <c r="E29" s="311">
        <f>G25</f>
        <v>874500</v>
      </c>
      <c r="F29" s="130"/>
      <c r="G29" s="130"/>
      <c r="H29" s="244"/>
      <c r="I29" s="10"/>
    </row>
    <row r="30" ht="19.5" spans="2:9">
      <c r="B30" s="5"/>
      <c r="C30" s="265" t="s">
        <v>29</v>
      </c>
      <c r="D30" s="266" t="s">
        <v>1</v>
      </c>
      <c r="E30" s="267" t="s">
        <v>30</v>
      </c>
      <c r="F30" s="130"/>
      <c r="G30" s="130"/>
      <c r="H30" s="244"/>
      <c r="I30" s="10"/>
    </row>
    <row r="31" ht="19.5" spans="2:9">
      <c r="B31" s="5"/>
      <c r="C31" s="268" t="s">
        <v>31</v>
      </c>
      <c r="D31" s="269" t="s">
        <v>1</v>
      </c>
      <c r="E31" s="270" t="s">
        <v>32</v>
      </c>
      <c r="F31" s="128"/>
      <c r="G31" s="271" t="s">
        <v>33</v>
      </c>
      <c r="H31" s="272"/>
      <c r="I31" s="10"/>
    </row>
    <row r="32" ht="6" customHeight="1" spans="2:9">
      <c r="B32" s="127"/>
      <c r="C32" s="128"/>
      <c r="D32" s="128"/>
      <c r="E32" s="128"/>
      <c r="F32" s="128"/>
      <c r="G32" s="128"/>
      <c r="H32" s="128"/>
      <c r="I32" s="129"/>
    </row>
    <row r="33" ht="19.5" spans="3:8">
      <c r="C33" s="130"/>
      <c r="D33" s="130"/>
      <c r="E33" s="130"/>
      <c r="F33" s="130"/>
      <c r="G33" s="130"/>
      <c r="H33" s="130"/>
    </row>
    <row r="34" ht="19.5" spans="3:8">
      <c r="C34" s="131" t="s">
        <v>34</v>
      </c>
      <c r="D34" s="132"/>
      <c r="E34" s="133"/>
      <c r="F34" s="134"/>
      <c r="G34" s="134"/>
      <c r="H34" s="130"/>
    </row>
    <row r="35" ht="19.5" spans="3:8">
      <c r="C35" s="131"/>
      <c r="D35" s="132"/>
      <c r="E35" s="133"/>
      <c r="F35" s="135" t="s">
        <v>35</v>
      </c>
      <c r="G35" s="136">
        <v>15000000</v>
      </c>
      <c r="H35" s="130"/>
    </row>
    <row r="36" ht="19.5" spans="3:8">
      <c r="C36" s="131" t="s">
        <v>36</v>
      </c>
      <c r="D36" s="132"/>
      <c r="E36" s="133">
        <v>68461489623</v>
      </c>
      <c r="F36" s="137" t="s">
        <v>37</v>
      </c>
      <c r="G36" s="138"/>
      <c r="H36" s="130"/>
    </row>
    <row r="37" ht="19.5" spans="3:8">
      <c r="C37" s="139">
        <v>0.01</v>
      </c>
      <c r="D37" s="132"/>
      <c r="E37" s="133">
        <f>E36*C37</f>
        <v>684614896.23</v>
      </c>
      <c r="F37" s="137" t="s">
        <v>38</v>
      </c>
      <c r="G37" s="140"/>
      <c r="H37" s="130"/>
    </row>
    <row r="38" ht="19.5" spans="3:8">
      <c r="C38" s="130"/>
      <c r="D38" s="130"/>
      <c r="E38" s="130"/>
      <c r="F38" s="130"/>
      <c r="G38" s="130"/>
      <c r="H38" s="130"/>
    </row>
    <row r="39" ht="19.5" spans="3:8">
      <c r="C39" s="130"/>
      <c r="D39" s="130"/>
      <c r="E39" s="130"/>
      <c r="F39" s="130"/>
      <c r="G39" s="130"/>
      <c r="H39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0:E20"/>
    <mergeCell ref="C27:E27"/>
    <mergeCell ref="G31:H31"/>
  </mergeCells>
  <pageMargins left="0.7" right="0.7" top="0.75" bottom="0.75" header="0.3" footer="0.3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workbookViewId="0">
      <selection activeCell="E4" sqref="E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172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178333446.75</v>
      </c>
      <c r="H5" s="10"/>
    </row>
    <row r="6" ht="22.5" spans="2:8">
      <c r="B6" s="5"/>
      <c r="C6" s="11" t="s">
        <v>7</v>
      </c>
      <c r="D6" s="12" t="s">
        <v>1</v>
      </c>
      <c r="E6" s="15" t="s">
        <v>173</v>
      </c>
      <c r="F6" s="11" t="s">
        <v>9</v>
      </c>
      <c r="G6" s="14">
        <f>G4-G5</f>
        <v>574797146.305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0.763210459919563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12">
      <c r="B19" s="5"/>
      <c r="C19" s="42"/>
      <c r="D19" s="145" t="s">
        <v>129</v>
      </c>
      <c r="E19" s="145"/>
      <c r="F19" s="146"/>
      <c r="G19" s="46"/>
      <c r="H19" s="10"/>
      <c r="L19" s="1">
        <f>18000000-2958946.75</f>
        <v>15041053.25</v>
      </c>
    </row>
    <row r="20" ht="21" spans="2:8">
      <c r="B20" s="5"/>
      <c r="C20" s="154" t="s">
        <v>174</v>
      </c>
      <c r="D20" s="155" t="s">
        <v>163</v>
      </c>
      <c r="E20" s="156"/>
      <c r="F20" s="157">
        <f>+LK.15!F32+LK.16!F32+LK.17!F32+LK.18!F34</f>
        <v>41369626</v>
      </c>
      <c r="G20" s="60"/>
      <c r="H20" s="10"/>
    </row>
    <row r="21" ht="20.25" spans="2:8">
      <c r="B21" s="5"/>
      <c r="C21" s="75"/>
      <c r="D21" s="158" t="s">
        <v>175</v>
      </c>
      <c r="E21" s="159"/>
      <c r="F21" s="75"/>
      <c r="G21" s="26"/>
      <c r="H21" s="10"/>
    </row>
    <row r="22" ht="21" spans="2:12">
      <c r="B22" s="5"/>
      <c r="C22" s="154" t="s">
        <v>165</v>
      </c>
      <c r="D22" s="160" t="s">
        <v>176</v>
      </c>
      <c r="E22" s="29"/>
      <c r="F22" s="157">
        <f>LK.19!F34</f>
        <v>10785100</v>
      </c>
      <c r="G22" s="26"/>
      <c r="H22" s="10"/>
      <c r="L22" s="1">
        <f>128500000+15000000+17000000</f>
        <v>160500000</v>
      </c>
    </row>
    <row r="23" ht="5.4" customHeight="1" spans="2:8">
      <c r="B23" s="5"/>
      <c r="C23" s="61"/>
      <c r="D23" s="62"/>
      <c r="E23" s="62"/>
      <c r="F23" s="63"/>
      <c r="G23" s="64"/>
      <c r="H23" s="10"/>
    </row>
    <row r="24" ht="22.5" spans="2:8">
      <c r="B24" s="5"/>
      <c r="C24" s="65"/>
      <c r="D24" s="66"/>
      <c r="E24" s="67" t="s">
        <v>18</v>
      </c>
      <c r="F24" s="68">
        <f>SUM(F12:F22)</f>
        <v>168740771.75</v>
      </c>
      <c r="G24" s="69">
        <f>G4-F24</f>
        <v>584389821.305</v>
      </c>
      <c r="H24" s="10"/>
    </row>
    <row r="25" ht="5.4" customHeight="1" spans="2:8">
      <c r="B25" s="5"/>
      <c r="C25" s="70"/>
      <c r="D25" s="71"/>
      <c r="E25" s="72"/>
      <c r="F25" s="73"/>
      <c r="G25" s="74"/>
      <c r="H25" s="10"/>
    </row>
    <row r="26" ht="22.5" spans="2:12">
      <c r="B26" s="5"/>
      <c r="C26" s="75"/>
      <c r="D26" s="28" t="s">
        <v>132</v>
      </c>
      <c r="E26" s="76"/>
      <c r="F26" s="77">
        <v>0</v>
      </c>
      <c r="G26" s="78"/>
      <c r="H26" s="10"/>
      <c r="L26" s="1">
        <f>14000000-7366271.75</f>
        <v>6633728.25</v>
      </c>
    </row>
    <row r="27" ht="6" customHeight="1" spans="2:8">
      <c r="B27" s="5"/>
      <c r="C27" s="75"/>
      <c r="D27" s="28"/>
      <c r="E27" s="76"/>
      <c r="F27" s="77"/>
      <c r="G27" s="78"/>
      <c r="H27" s="10"/>
    </row>
    <row r="28" ht="21" spans="2:8">
      <c r="B28" s="5"/>
      <c r="C28" s="79" t="s">
        <v>20</v>
      </c>
      <c r="D28" s="80" t="s">
        <v>133</v>
      </c>
      <c r="E28" s="81"/>
      <c r="F28" s="82" t="s">
        <v>134</v>
      </c>
      <c r="G28" s="83" t="s">
        <v>135</v>
      </c>
      <c r="H28" s="10"/>
    </row>
    <row r="29" ht="21" spans="2:8">
      <c r="B29" s="5"/>
      <c r="C29" s="79"/>
      <c r="D29" s="152" t="s">
        <v>177</v>
      </c>
      <c r="E29" s="85"/>
      <c r="F29" s="86">
        <v>0</v>
      </c>
      <c r="G29" s="87">
        <v>0</v>
      </c>
      <c r="H29" s="10"/>
    </row>
    <row r="30" ht="19.8" customHeight="1" spans="2:12">
      <c r="B30" s="5"/>
      <c r="C30" s="93" t="s">
        <v>169</v>
      </c>
      <c r="D30" s="91" t="s">
        <v>178</v>
      </c>
      <c r="E30" s="92"/>
      <c r="F30" s="87">
        <v>6633728.25</v>
      </c>
      <c r="G30" s="87">
        <v>0</v>
      </c>
      <c r="H30" s="10"/>
      <c r="L30" s="1">
        <f>17000000-13581171.75</f>
        <v>3418828.25</v>
      </c>
    </row>
    <row r="31" ht="21" spans="2:12">
      <c r="B31" s="5"/>
      <c r="C31" s="93" t="s">
        <v>179</v>
      </c>
      <c r="D31" s="91" t="s">
        <v>180</v>
      </c>
      <c r="E31" s="92"/>
      <c r="F31" s="86">
        <v>2958946.75</v>
      </c>
      <c r="G31" s="87">
        <v>15041053.25</v>
      </c>
      <c r="H31" s="10"/>
      <c r="L31" s="142">
        <f>15000000-F31</f>
        <v>12041053.25</v>
      </c>
    </row>
    <row r="32" ht="7.8" customHeight="1" spans="2:12">
      <c r="B32" s="5"/>
      <c r="C32" s="93"/>
      <c r="D32" s="94"/>
      <c r="E32" s="95"/>
      <c r="F32" s="96"/>
      <c r="G32" s="97"/>
      <c r="H32" s="10"/>
      <c r="L32" s="142"/>
    </row>
    <row r="33" ht="19.2" customHeight="1" spans="2:12">
      <c r="B33" s="5"/>
      <c r="C33" s="79" t="s">
        <v>20</v>
      </c>
      <c r="D33" s="98" t="s">
        <v>141</v>
      </c>
      <c r="E33" s="81"/>
      <c r="F33" s="82"/>
      <c r="G33" s="99"/>
      <c r="H33" s="10"/>
      <c r="L33" s="142"/>
    </row>
    <row r="34" ht="22.5" spans="2:12">
      <c r="B34" s="5"/>
      <c r="C34" s="93">
        <v>44909</v>
      </c>
      <c r="D34" s="151" t="s">
        <v>181</v>
      </c>
      <c r="E34" s="101"/>
      <c r="F34" s="102">
        <v>9592675</v>
      </c>
      <c r="G34" s="103"/>
      <c r="H34" s="10"/>
      <c r="L34" s="1">
        <f>114500000+14000000</f>
        <v>128500000</v>
      </c>
    </row>
    <row r="35" ht="22.5" spans="2:8">
      <c r="B35" s="5"/>
      <c r="C35" s="104"/>
      <c r="D35" s="105"/>
      <c r="E35" s="106" t="s">
        <v>25</v>
      </c>
      <c r="F35" s="107">
        <f>F34-SUM(F29:F31)</f>
        <v>0</v>
      </c>
      <c r="G35" s="108"/>
      <c r="H35" s="10"/>
    </row>
    <row r="36" ht="10.2" customHeight="1" spans="2:8">
      <c r="B36" s="5"/>
      <c r="C36" s="109"/>
      <c r="D36" s="66"/>
      <c r="E36" s="66"/>
      <c r="F36" s="66"/>
      <c r="G36" s="110"/>
      <c r="H36" s="10"/>
    </row>
    <row r="37" ht="21.75" spans="2:12">
      <c r="B37" s="5"/>
      <c r="C37" s="111" t="s">
        <v>26</v>
      </c>
      <c r="D37" s="112"/>
      <c r="E37" s="112"/>
      <c r="F37" s="113">
        <f>F24+F34</f>
        <v>178333446.75</v>
      </c>
      <c r="G37" s="114">
        <f>G4-F37</f>
        <v>574797146.305</v>
      </c>
      <c r="H37" s="10"/>
      <c r="L37" s="143">
        <f>6541000+6150071.75</f>
        <v>12691071.75</v>
      </c>
    </row>
    <row r="38" ht="21" spans="2:8">
      <c r="B38" s="5"/>
      <c r="C38" s="115" t="s">
        <v>27</v>
      </c>
      <c r="D38" s="116"/>
      <c r="E38" s="34"/>
      <c r="F38" s="117"/>
      <c r="G38" s="56"/>
      <c r="H38" s="10"/>
    </row>
    <row r="39" ht="22.5" spans="2:8">
      <c r="B39" s="5"/>
      <c r="C39" s="118" t="s">
        <v>28</v>
      </c>
      <c r="D39" s="119" t="s">
        <v>1</v>
      </c>
      <c r="E39" s="120">
        <f>F35</f>
        <v>0</v>
      </c>
      <c r="F39" s="117"/>
      <c r="G39" s="56"/>
      <c r="H39" s="10"/>
    </row>
    <row r="40" ht="21" spans="2:8">
      <c r="B40" s="5"/>
      <c r="C40" s="118" t="s">
        <v>29</v>
      </c>
      <c r="D40" s="119" t="s">
        <v>1</v>
      </c>
      <c r="E40" s="121" t="s">
        <v>30</v>
      </c>
      <c r="F40" s="117"/>
      <c r="G40" s="56"/>
      <c r="H40" s="10"/>
    </row>
    <row r="41" ht="21" spans="2:8">
      <c r="B41" s="5"/>
      <c r="C41" s="122" t="s">
        <v>31</v>
      </c>
      <c r="D41" s="123" t="s">
        <v>1</v>
      </c>
      <c r="E41" s="124" t="s">
        <v>32</v>
      </c>
      <c r="F41" s="125" t="s">
        <v>50</v>
      </c>
      <c r="G41" s="126"/>
      <c r="H41" s="10"/>
    </row>
    <row r="42" ht="6" customHeight="1" spans="2:8">
      <c r="B42" s="127"/>
      <c r="C42" s="128"/>
      <c r="D42" s="128"/>
      <c r="E42" s="128"/>
      <c r="F42" s="128"/>
      <c r="G42" s="128"/>
      <c r="H42" s="129"/>
    </row>
    <row r="43" ht="19.5" spans="3:7">
      <c r="C43" s="130"/>
      <c r="D43" s="130"/>
      <c r="E43" s="130"/>
      <c r="F43" s="130"/>
      <c r="G43" s="130"/>
    </row>
    <row r="44" ht="19.5" spans="3:7">
      <c r="C44" s="131" t="s">
        <v>34</v>
      </c>
      <c r="D44" s="132"/>
      <c r="E44" s="133"/>
      <c r="F44" s="134"/>
      <c r="G44" s="130"/>
    </row>
    <row r="45" ht="19.5" spans="3:7">
      <c r="C45" s="131"/>
      <c r="D45" s="132"/>
      <c r="E45" s="133"/>
      <c r="F45" s="135" t="s">
        <v>35</v>
      </c>
      <c r="G45" s="136">
        <v>15000000</v>
      </c>
    </row>
    <row r="46" ht="19.5" spans="3:7">
      <c r="C46" s="131" t="s">
        <v>36</v>
      </c>
      <c r="D46" s="132"/>
      <c r="E46" s="133">
        <v>75313059305.5</v>
      </c>
      <c r="F46" s="137" t="s">
        <v>37</v>
      </c>
      <c r="G46" s="138"/>
    </row>
    <row r="47" ht="19.5" spans="3:7">
      <c r="C47" s="139">
        <v>0.01</v>
      </c>
      <c r="D47" s="132"/>
      <c r="E47" s="133">
        <f>E46*C47</f>
        <v>753130593.055</v>
      </c>
      <c r="F47" s="137" t="s">
        <v>38</v>
      </c>
      <c r="G47" s="140"/>
    </row>
    <row r="48" ht="19.5" spans="3:7">
      <c r="C48" s="130"/>
      <c r="D48" s="130"/>
      <c r="E48" s="130"/>
      <c r="F48" s="130"/>
      <c r="G48" s="130"/>
    </row>
    <row r="49" ht="19.5" spans="3:7">
      <c r="C49" s="130"/>
      <c r="D49" s="130"/>
      <c r="E49" s="130"/>
      <c r="F49" s="130"/>
      <c r="G49" s="130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view="pageBreakPreview" zoomScale="85" zoomScaleNormal="85" topLeftCell="A13" workbookViewId="0">
      <selection activeCell="G31" sqref="G3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182</v>
      </c>
      <c r="F4" s="6" t="s">
        <v>3</v>
      </c>
      <c r="G4" s="9">
        <f>+E47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189883606.75</v>
      </c>
      <c r="H5" s="10"/>
    </row>
    <row r="6" ht="22.5" spans="2:8">
      <c r="B6" s="5"/>
      <c r="C6" s="11" t="s">
        <v>7</v>
      </c>
      <c r="D6" s="12" t="s">
        <v>1</v>
      </c>
      <c r="E6" s="15" t="s">
        <v>183</v>
      </c>
      <c r="F6" s="11" t="s">
        <v>9</v>
      </c>
      <c r="G6" s="14">
        <f>G4-G5</f>
        <v>563246986.305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0.747874261780077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12">
      <c r="B22" s="5"/>
      <c r="C22" s="47" t="s">
        <v>184</v>
      </c>
      <c r="D22" s="48" t="s">
        <v>185</v>
      </c>
      <c r="E22" s="49"/>
      <c r="F22" s="50">
        <f>LK.19!F34+LK.20!F34</f>
        <v>20377775</v>
      </c>
      <c r="G22" s="58"/>
      <c r="H22" s="10"/>
      <c r="L22" s="1">
        <f>160500000+14000000</f>
        <v>174500000</v>
      </c>
    </row>
    <row r="23" ht="21" spans="2:8">
      <c r="B23" s="5"/>
      <c r="C23" s="51"/>
      <c r="D23" s="150" t="s">
        <v>186</v>
      </c>
      <c r="E23" s="53"/>
      <c r="F23" s="54"/>
      <c r="G23" s="60"/>
      <c r="H23" s="10"/>
    </row>
    <row r="24" ht="5.4" customHeight="1" spans="2:8">
      <c r="B24" s="5"/>
      <c r="C24" s="61"/>
      <c r="D24" s="62"/>
      <c r="E24" s="62"/>
      <c r="F24" s="63"/>
      <c r="G24" s="64"/>
      <c r="H24" s="10"/>
    </row>
    <row r="25" ht="22.5" spans="2:8">
      <c r="B25" s="5"/>
      <c r="C25" s="65"/>
      <c r="D25" s="66"/>
      <c r="E25" s="67" t="s">
        <v>18</v>
      </c>
      <c r="F25" s="68">
        <f>SUM(F12:F23)</f>
        <v>178333446.75</v>
      </c>
      <c r="G25" s="69">
        <f>G4-F25</f>
        <v>574797146.305</v>
      </c>
      <c r="H25" s="10"/>
    </row>
    <row r="26" ht="5.4" customHeight="1" spans="2:8">
      <c r="B26" s="5"/>
      <c r="C26" s="70"/>
      <c r="D26" s="71"/>
      <c r="E26" s="72"/>
      <c r="F26" s="73"/>
      <c r="G26" s="74"/>
      <c r="H26" s="10"/>
    </row>
    <row r="27" ht="22.5" spans="2:8">
      <c r="B27" s="5"/>
      <c r="C27" s="75"/>
      <c r="D27" s="28" t="s">
        <v>132</v>
      </c>
      <c r="E27" s="76"/>
      <c r="F27" s="77">
        <v>0</v>
      </c>
      <c r="G27" s="78"/>
      <c r="H27" s="10"/>
    </row>
    <row r="28" ht="6" customHeight="1" spans="2:8">
      <c r="B28" s="5"/>
      <c r="C28" s="75"/>
      <c r="D28" s="28"/>
      <c r="E28" s="76"/>
      <c r="F28" s="77"/>
      <c r="G28" s="78"/>
      <c r="H28" s="10"/>
    </row>
    <row r="29" ht="21" spans="2:12">
      <c r="B29" s="5"/>
      <c r="C29" s="79" t="s">
        <v>20</v>
      </c>
      <c r="D29" s="80" t="s">
        <v>133</v>
      </c>
      <c r="E29" s="81"/>
      <c r="F29" s="82" t="s">
        <v>134</v>
      </c>
      <c r="G29" s="83" t="s">
        <v>135</v>
      </c>
      <c r="H29" s="10"/>
      <c r="L29" s="1">
        <f>2958946.75+11550160-18000000</f>
        <v>-3490893.25</v>
      </c>
    </row>
    <row r="30" ht="21" spans="2:8">
      <c r="B30" s="5"/>
      <c r="C30" s="79"/>
      <c r="D30" s="152" t="s">
        <v>187</v>
      </c>
      <c r="E30" s="85"/>
      <c r="F30" s="86">
        <v>0</v>
      </c>
      <c r="G30" s="87">
        <v>0</v>
      </c>
      <c r="H30" s="10"/>
    </row>
    <row r="31" ht="21" spans="2:12">
      <c r="B31" s="5"/>
      <c r="C31" s="93" t="s">
        <v>179</v>
      </c>
      <c r="D31" s="91" t="s">
        <v>188</v>
      </c>
      <c r="E31" s="92"/>
      <c r="F31" s="86">
        <v>11550160</v>
      </c>
      <c r="G31" s="87">
        <v>3490893.25</v>
      </c>
      <c r="H31" s="10"/>
      <c r="L31" s="142"/>
    </row>
    <row r="32" ht="7.8" customHeight="1" spans="2:12">
      <c r="B32" s="5"/>
      <c r="C32" s="93"/>
      <c r="D32" s="94"/>
      <c r="E32" s="95"/>
      <c r="F32" s="96"/>
      <c r="G32" s="97"/>
      <c r="H32" s="10"/>
      <c r="L32" s="142"/>
    </row>
    <row r="33" ht="19.2" customHeight="1" spans="2:12">
      <c r="B33" s="5"/>
      <c r="C33" s="79" t="s">
        <v>20</v>
      </c>
      <c r="D33" s="98" t="s">
        <v>141</v>
      </c>
      <c r="E33" s="81"/>
      <c r="F33" s="82"/>
      <c r="G33" s="99"/>
      <c r="H33" s="10"/>
      <c r="L33" s="142">
        <f>2958946.75+11550160</f>
        <v>14509106.75</v>
      </c>
    </row>
    <row r="34" ht="22.5" spans="2:8">
      <c r="B34" s="5"/>
      <c r="C34" s="93">
        <v>44909</v>
      </c>
      <c r="D34" s="151" t="s">
        <v>189</v>
      </c>
      <c r="E34" s="101"/>
      <c r="F34" s="102">
        <v>11550160</v>
      </c>
      <c r="G34" s="103"/>
      <c r="H34" s="10"/>
    </row>
    <row r="35" ht="22.5" spans="2:8">
      <c r="B35" s="5"/>
      <c r="C35" s="104"/>
      <c r="D35" s="105"/>
      <c r="E35" s="106" t="s">
        <v>25</v>
      </c>
      <c r="F35" s="107">
        <f>F34-SUM(F30:F31)</f>
        <v>0</v>
      </c>
      <c r="G35" s="108"/>
      <c r="H35" s="10"/>
    </row>
    <row r="36" ht="10.2" customHeight="1" spans="2:8">
      <c r="B36" s="5"/>
      <c r="C36" s="109"/>
      <c r="D36" s="66"/>
      <c r="E36" s="66"/>
      <c r="F36" s="66"/>
      <c r="G36" s="110"/>
      <c r="H36" s="10"/>
    </row>
    <row r="37" ht="21.75" spans="2:12">
      <c r="B37" s="5"/>
      <c r="C37" s="111" t="s">
        <v>26</v>
      </c>
      <c r="D37" s="112"/>
      <c r="E37" s="112"/>
      <c r="F37" s="113">
        <f>F25+F34</f>
        <v>189883606.75</v>
      </c>
      <c r="G37" s="114">
        <f>G4-F37</f>
        <v>563246986.305</v>
      </c>
      <c r="H37" s="10"/>
      <c r="L37" s="143"/>
    </row>
    <row r="38" ht="21" spans="2:8">
      <c r="B38" s="5"/>
      <c r="C38" s="115" t="s">
        <v>27</v>
      </c>
      <c r="D38" s="116"/>
      <c r="E38" s="34"/>
      <c r="F38" s="117"/>
      <c r="G38" s="56"/>
      <c r="H38" s="10"/>
    </row>
    <row r="39" ht="22.5" spans="2:8">
      <c r="B39" s="5"/>
      <c r="C39" s="118" t="s">
        <v>28</v>
      </c>
      <c r="D39" s="119" t="s">
        <v>1</v>
      </c>
      <c r="E39" s="120">
        <f>F35</f>
        <v>0</v>
      </c>
      <c r="F39" s="117"/>
      <c r="G39" s="56"/>
      <c r="H39" s="10"/>
    </row>
    <row r="40" ht="21" spans="2:8">
      <c r="B40" s="5"/>
      <c r="C40" s="118" t="s">
        <v>29</v>
      </c>
      <c r="D40" s="119" t="s">
        <v>1</v>
      </c>
      <c r="E40" s="121" t="s">
        <v>30</v>
      </c>
      <c r="F40" s="117"/>
      <c r="G40" s="56"/>
      <c r="H40" s="10"/>
    </row>
    <row r="41" ht="21" spans="2:8">
      <c r="B41" s="5"/>
      <c r="C41" s="122" t="s">
        <v>31</v>
      </c>
      <c r="D41" s="123" t="s">
        <v>1</v>
      </c>
      <c r="E41" s="124" t="s">
        <v>32</v>
      </c>
      <c r="F41" s="125" t="s">
        <v>50</v>
      </c>
      <c r="G41" s="126"/>
      <c r="H41" s="10"/>
    </row>
    <row r="42" ht="6" customHeight="1" spans="2:8">
      <c r="B42" s="127"/>
      <c r="C42" s="128"/>
      <c r="D42" s="128"/>
      <c r="E42" s="128"/>
      <c r="F42" s="128"/>
      <c r="G42" s="128"/>
      <c r="H42" s="129"/>
    </row>
    <row r="43" ht="19.5" spans="3:7">
      <c r="C43" s="130"/>
      <c r="D43" s="130"/>
      <c r="E43" s="130"/>
      <c r="F43" s="130"/>
      <c r="G43" s="130"/>
    </row>
    <row r="44" ht="19.5" spans="3:7">
      <c r="C44" s="131" t="s">
        <v>34</v>
      </c>
      <c r="D44" s="132"/>
      <c r="E44" s="133"/>
      <c r="F44" s="134"/>
      <c r="G44" s="130"/>
    </row>
    <row r="45" ht="19.5" spans="3:7">
      <c r="C45" s="131"/>
      <c r="D45" s="132"/>
      <c r="E45" s="133"/>
      <c r="F45" s="135" t="s">
        <v>35</v>
      </c>
      <c r="G45" s="136">
        <v>15000000</v>
      </c>
    </row>
    <row r="46" ht="19.5" spans="3:7">
      <c r="C46" s="131" t="s">
        <v>36</v>
      </c>
      <c r="D46" s="132"/>
      <c r="E46" s="133">
        <v>75313059305.5</v>
      </c>
      <c r="F46" s="137" t="s">
        <v>37</v>
      </c>
      <c r="G46" s="138"/>
    </row>
    <row r="47" ht="19.5" spans="3:7">
      <c r="C47" s="139">
        <v>0.01</v>
      </c>
      <c r="D47" s="132"/>
      <c r="E47" s="133">
        <f>E46*C47</f>
        <v>753130593.055</v>
      </c>
      <c r="F47" s="137" t="s">
        <v>38</v>
      </c>
      <c r="G47" s="140"/>
    </row>
    <row r="48" ht="19.5" spans="3:7">
      <c r="C48" s="130"/>
      <c r="D48" s="130"/>
      <c r="E48" s="130"/>
      <c r="F48" s="130"/>
      <c r="G48" s="130"/>
    </row>
    <row r="49" ht="19.5" spans="3:7">
      <c r="C49" s="130"/>
      <c r="D49" s="130"/>
      <c r="E49" s="130"/>
      <c r="F49" s="130"/>
      <c r="G49" s="130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0"/>
  <sheetViews>
    <sheetView view="pageBreakPreview" zoomScale="85" zoomScaleNormal="85" topLeftCell="A16" workbookViewId="0">
      <selection activeCell="F35" sqref="F3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190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199447456.75</v>
      </c>
      <c r="H5" s="10"/>
    </row>
    <row r="6" ht="22.5" spans="2:8">
      <c r="B6" s="5"/>
      <c r="C6" s="11" t="s">
        <v>7</v>
      </c>
      <c r="D6" s="12" t="s">
        <v>1</v>
      </c>
      <c r="E6" s="15" t="s">
        <v>191</v>
      </c>
      <c r="F6" s="11" t="s">
        <v>9</v>
      </c>
      <c r="G6" s="14">
        <f>G4-G5</f>
        <v>553683136.305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0.735175468120395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192</v>
      </c>
      <c r="D22" s="48" t="s">
        <v>193</v>
      </c>
      <c r="E22" s="49"/>
      <c r="F22" s="50">
        <f>LK.19!F34+LK.20!F34+LK.21!F34</f>
        <v>31927935</v>
      </c>
      <c r="G22" s="58"/>
      <c r="H22" s="10"/>
    </row>
    <row r="23" ht="21" spans="2:8">
      <c r="B23" s="5"/>
      <c r="C23" s="51"/>
      <c r="D23" s="150" t="s">
        <v>194</v>
      </c>
      <c r="E23" s="53"/>
      <c r="F23" s="54"/>
      <c r="G23" s="60"/>
      <c r="H23" s="10"/>
    </row>
    <row r="24" ht="5.4" customHeight="1" spans="2:8">
      <c r="B24" s="5"/>
      <c r="C24" s="61"/>
      <c r="D24" s="62"/>
      <c r="E24" s="62"/>
      <c r="F24" s="63"/>
      <c r="G24" s="64"/>
      <c r="H24" s="10"/>
    </row>
    <row r="25" ht="22.5" spans="2:8">
      <c r="B25" s="5"/>
      <c r="C25" s="65"/>
      <c r="D25" s="66"/>
      <c r="E25" s="67" t="s">
        <v>18</v>
      </c>
      <c r="F25" s="68">
        <f>SUM(F12:F23)</f>
        <v>189883606.75</v>
      </c>
      <c r="G25" s="69">
        <f>G4-F25</f>
        <v>563246986.305</v>
      </c>
      <c r="H25" s="10"/>
    </row>
    <row r="26" ht="5.4" customHeight="1" spans="2:8">
      <c r="B26" s="5"/>
      <c r="C26" s="70"/>
      <c r="D26" s="71"/>
      <c r="E26" s="72"/>
      <c r="F26" s="73"/>
      <c r="G26" s="74"/>
      <c r="H26" s="10"/>
    </row>
    <row r="27" ht="22.5" spans="2:8">
      <c r="B27" s="5"/>
      <c r="C27" s="75"/>
      <c r="D27" s="28" t="s">
        <v>132</v>
      </c>
      <c r="E27" s="76"/>
      <c r="F27" s="77">
        <v>0</v>
      </c>
      <c r="G27" s="78"/>
      <c r="H27" s="10"/>
    </row>
    <row r="28" ht="6" customHeight="1" spans="2:8">
      <c r="B28" s="5"/>
      <c r="C28" s="75"/>
      <c r="D28" s="28"/>
      <c r="E28" s="76"/>
      <c r="F28" s="77"/>
      <c r="G28" s="78"/>
      <c r="H28" s="10"/>
    </row>
    <row r="29" ht="21" spans="2:8">
      <c r="B29" s="5"/>
      <c r="C29" s="79" t="s">
        <v>20</v>
      </c>
      <c r="D29" s="80" t="s">
        <v>133</v>
      </c>
      <c r="E29" s="81"/>
      <c r="F29" s="82" t="s">
        <v>134</v>
      </c>
      <c r="G29" s="83" t="s">
        <v>135</v>
      </c>
      <c r="H29" s="10"/>
    </row>
    <row r="30" ht="21" spans="2:8">
      <c r="B30" s="5"/>
      <c r="C30" s="79"/>
      <c r="D30" s="152" t="s">
        <v>187</v>
      </c>
      <c r="E30" s="85"/>
      <c r="F30" s="86">
        <v>0</v>
      </c>
      <c r="G30" s="87">
        <v>0</v>
      </c>
      <c r="H30" s="10"/>
    </row>
    <row r="31" ht="21" spans="2:12">
      <c r="B31" s="5"/>
      <c r="C31" s="93" t="s">
        <v>179</v>
      </c>
      <c r="D31" s="91" t="s">
        <v>195</v>
      </c>
      <c r="E31" s="92"/>
      <c r="F31" s="87">
        <v>3490893.25</v>
      </c>
      <c r="G31" s="87">
        <v>0</v>
      </c>
      <c r="H31" s="10"/>
      <c r="L31" s="1">
        <v>6927043.25</v>
      </c>
    </row>
    <row r="32" ht="21" spans="2:12">
      <c r="B32" s="5"/>
      <c r="C32" s="93" t="s">
        <v>196</v>
      </c>
      <c r="D32" s="91" t="s">
        <v>197</v>
      </c>
      <c r="E32" s="92"/>
      <c r="F32" s="86">
        <v>6072956.75</v>
      </c>
      <c r="G32" s="87">
        <f>13000000-F32</f>
        <v>6927043.25</v>
      </c>
      <c r="H32" s="10"/>
      <c r="L32" s="142"/>
    </row>
    <row r="33" ht="7.8" customHeight="1" spans="2:12">
      <c r="B33" s="5"/>
      <c r="C33" s="93"/>
      <c r="D33" s="94"/>
      <c r="E33" s="95"/>
      <c r="F33" s="96"/>
      <c r="G33" s="97"/>
      <c r="H33" s="10"/>
      <c r="L33" s="142"/>
    </row>
    <row r="34" ht="19.2" customHeight="1" spans="2:12">
      <c r="B34" s="5"/>
      <c r="C34" s="79" t="s">
        <v>20</v>
      </c>
      <c r="D34" s="98" t="s">
        <v>141</v>
      </c>
      <c r="E34" s="81"/>
      <c r="F34" s="82"/>
      <c r="G34" s="99"/>
      <c r="H34" s="10"/>
      <c r="L34" s="142">
        <v>14509106.75</v>
      </c>
    </row>
    <row r="35" ht="22.5" spans="2:8">
      <c r="B35" s="5"/>
      <c r="C35" s="93">
        <v>44909</v>
      </c>
      <c r="D35" s="151" t="s">
        <v>198</v>
      </c>
      <c r="E35" s="101"/>
      <c r="F35" s="102">
        <v>9563850</v>
      </c>
      <c r="G35" s="103"/>
      <c r="H35" s="10"/>
    </row>
    <row r="36" ht="22.5" spans="2:8">
      <c r="B36" s="5"/>
      <c r="C36" s="104"/>
      <c r="D36" s="105"/>
      <c r="E36" s="106" t="s">
        <v>25</v>
      </c>
      <c r="F36" s="107">
        <f>F35-SUM(F30:F32)</f>
        <v>0</v>
      </c>
      <c r="G36" s="108"/>
      <c r="H36" s="10"/>
    </row>
    <row r="37" ht="10.2" customHeight="1" spans="2:8">
      <c r="B37" s="5"/>
      <c r="C37" s="109"/>
      <c r="D37" s="66"/>
      <c r="E37" s="66"/>
      <c r="F37" s="66"/>
      <c r="G37" s="110"/>
      <c r="H37" s="10"/>
    </row>
    <row r="38" ht="21.75" spans="2:12">
      <c r="B38" s="5"/>
      <c r="C38" s="111" t="s">
        <v>26</v>
      </c>
      <c r="D38" s="112"/>
      <c r="E38" s="112"/>
      <c r="F38" s="113">
        <f>F25+F35</f>
        <v>199447456.75</v>
      </c>
      <c r="G38" s="114">
        <f>G4-F38</f>
        <v>553683136.305</v>
      </c>
      <c r="H38" s="10"/>
      <c r="L38" s="143"/>
    </row>
    <row r="39" ht="21" spans="2:8">
      <c r="B39" s="5"/>
      <c r="C39" s="115" t="s">
        <v>27</v>
      </c>
      <c r="D39" s="116"/>
      <c r="E39" s="34"/>
      <c r="F39" s="117"/>
      <c r="G39" s="56"/>
      <c r="H39" s="10"/>
    </row>
    <row r="40" ht="22.5" spans="2:8">
      <c r="B40" s="5"/>
      <c r="C40" s="118" t="s">
        <v>28</v>
      </c>
      <c r="D40" s="119" t="s">
        <v>1</v>
      </c>
      <c r="E40" s="120">
        <f>F36</f>
        <v>0</v>
      </c>
      <c r="F40" s="117"/>
      <c r="G40" s="56"/>
      <c r="H40" s="10"/>
    </row>
    <row r="41" ht="21" spans="2:8">
      <c r="B41" s="5"/>
      <c r="C41" s="118" t="s">
        <v>29</v>
      </c>
      <c r="D41" s="119" t="s">
        <v>1</v>
      </c>
      <c r="E41" s="121" t="s">
        <v>30</v>
      </c>
      <c r="F41" s="117"/>
      <c r="G41" s="56"/>
      <c r="H41" s="10"/>
    </row>
    <row r="42" ht="21" spans="2:8">
      <c r="B42" s="5"/>
      <c r="C42" s="122" t="s">
        <v>31</v>
      </c>
      <c r="D42" s="123" t="s">
        <v>1</v>
      </c>
      <c r="E42" s="124" t="s">
        <v>32</v>
      </c>
      <c r="F42" s="125" t="s">
        <v>50</v>
      </c>
      <c r="G42" s="126"/>
      <c r="H42" s="10"/>
    </row>
    <row r="43" ht="6" customHeight="1" spans="2:8">
      <c r="B43" s="127"/>
      <c r="C43" s="128"/>
      <c r="D43" s="128"/>
      <c r="E43" s="128"/>
      <c r="F43" s="128"/>
      <c r="G43" s="128"/>
      <c r="H43" s="129"/>
    </row>
    <row r="44" ht="19.5" spans="3:7">
      <c r="C44" s="130"/>
      <c r="D44" s="130"/>
      <c r="E44" s="130"/>
      <c r="F44" s="130"/>
      <c r="G44" s="130"/>
    </row>
    <row r="45" ht="19.5" spans="3:7">
      <c r="C45" s="131" t="s">
        <v>34</v>
      </c>
      <c r="D45" s="132"/>
      <c r="E45" s="133"/>
      <c r="F45" s="134"/>
      <c r="G45" s="130"/>
    </row>
    <row r="46" ht="19.5" spans="3:7">
      <c r="C46" s="131"/>
      <c r="D46" s="132"/>
      <c r="E46" s="133"/>
      <c r="F46" s="135" t="s">
        <v>35</v>
      </c>
      <c r="G46" s="136">
        <v>15000000</v>
      </c>
    </row>
    <row r="47" ht="19.5" spans="3:7">
      <c r="C47" s="131" t="s">
        <v>36</v>
      </c>
      <c r="D47" s="132"/>
      <c r="E47" s="133">
        <v>75313059305.5</v>
      </c>
      <c r="F47" s="137" t="s">
        <v>37</v>
      </c>
      <c r="G47" s="138"/>
    </row>
    <row r="48" ht="19.5" spans="3:7">
      <c r="C48" s="139">
        <v>0.01</v>
      </c>
      <c r="D48" s="132"/>
      <c r="E48" s="133">
        <f>E47*C48</f>
        <v>753130593.055</v>
      </c>
      <c r="F48" s="137" t="s">
        <v>38</v>
      </c>
      <c r="G48" s="140"/>
    </row>
    <row r="49" ht="19.5" spans="3:7">
      <c r="C49" s="130"/>
      <c r="D49" s="130"/>
      <c r="E49" s="130"/>
      <c r="F49" s="130"/>
      <c r="G49" s="130"/>
    </row>
    <row r="50" ht="19.5" spans="3:7">
      <c r="C50" s="130"/>
      <c r="D50" s="130"/>
      <c r="E50" s="130"/>
      <c r="F50" s="130"/>
      <c r="G50" s="130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2:E32"/>
    <mergeCell ref="D34:E34"/>
    <mergeCell ref="D35:E3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0"/>
  <sheetViews>
    <sheetView view="pageBreakPreview" zoomScale="85" zoomScaleNormal="85" topLeftCell="A16" workbookViewId="0">
      <selection activeCell="D31" sqref="D31:E3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199</v>
      </c>
      <c r="F4" s="6" t="s">
        <v>3</v>
      </c>
      <c r="G4" s="9">
        <f>+E48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F38</f>
        <v>210240846.75</v>
      </c>
      <c r="H5" s="10"/>
    </row>
    <row r="6" ht="22.5" spans="2:8">
      <c r="B6" s="5"/>
      <c r="C6" s="11" t="s">
        <v>7</v>
      </c>
      <c r="D6" s="12" t="s">
        <v>1</v>
      </c>
      <c r="E6" s="15" t="s">
        <v>200</v>
      </c>
      <c r="F6" s="11" t="s">
        <v>9</v>
      </c>
      <c r="G6" s="14">
        <f>G4-G5</f>
        <v>542889746.305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0.720844102352583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5.4" customHeight="1" spans="2:8">
      <c r="B24" s="5"/>
      <c r="C24" s="61"/>
      <c r="D24" s="62"/>
      <c r="E24" s="62"/>
      <c r="F24" s="63"/>
      <c r="G24" s="64"/>
      <c r="H24" s="10"/>
    </row>
    <row r="25" ht="22.5" spans="2:8">
      <c r="B25" s="5"/>
      <c r="C25" s="65"/>
      <c r="D25" s="66"/>
      <c r="E25" s="67" t="s">
        <v>18</v>
      </c>
      <c r="F25" s="68">
        <f>SUM(F12:F23)</f>
        <v>199447456.75</v>
      </c>
      <c r="G25" s="69">
        <f>G4-F25</f>
        <v>553683136.305</v>
      </c>
      <c r="H25" s="10"/>
    </row>
    <row r="26" ht="5.4" customHeight="1" spans="2:8">
      <c r="B26" s="5"/>
      <c r="C26" s="70"/>
      <c r="D26" s="71"/>
      <c r="E26" s="72"/>
      <c r="F26" s="73"/>
      <c r="G26" s="74"/>
      <c r="H26" s="10"/>
    </row>
    <row r="27" ht="22.5" spans="2:8">
      <c r="B27" s="5"/>
      <c r="C27" s="75"/>
      <c r="D27" s="28" t="s">
        <v>132</v>
      </c>
      <c r="E27" s="76"/>
      <c r="F27" s="77">
        <v>0</v>
      </c>
      <c r="G27" s="78"/>
      <c r="H27" s="10"/>
    </row>
    <row r="28" ht="6" customHeight="1" spans="2:8">
      <c r="B28" s="5"/>
      <c r="C28" s="75"/>
      <c r="D28" s="28"/>
      <c r="E28" s="76"/>
      <c r="F28" s="77"/>
      <c r="G28" s="78"/>
      <c r="H28" s="10"/>
    </row>
    <row r="29" ht="21" spans="2:8">
      <c r="B29" s="5"/>
      <c r="C29" s="79" t="s">
        <v>20</v>
      </c>
      <c r="D29" s="80" t="s">
        <v>133</v>
      </c>
      <c r="E29" s="81"/>
      <c r="F29" s="82" t="s">
        <v>134</v>
      </c>
      <c r="G29" s="83" t="s">
        <v>135</v>
      </c>
      <c r="H29" s="10"/>
    </row>
    <row r="30" ht="21" spans="2:8">
      <c r="B30" s="5"/>
      <c r="C30" s="79"/>
      <c r="D30" s="152" t="s">
        <v>204</v>
      </c>
      <c r="E30" s="85"/>
      <c r="F30" s="86">
        <v>0</v>
      </c>
      <c r="G30" s="87">
        <v>0</v>
      </c>
      <c r="H30" s="10"/>
    </row>
    <row r="31" ht="21" spans="2:8">
      <c r="B31" s="5"/>
      <c r="C31" s="93" t="s">
        <v>196</v>
      </c>
      <c r="D31" s="91" t="s">
        <v>205</v>
      </c>
      <c r="E31" s="92"/>
      <c r="F31" s="86">
        <v>6927043.25</v>
      </c>
      <c r="G31" s="87">
        <v>0</v>
      </c>
      <c r="H31" s="10"/>
    </row>
    <row r="32" ht="21" spans="2:12">
      <c r="B32" s="5"/>
      <c r="C32" s="93" t="s">
        <v>206</v>
      </c>
      <c r="D32" s="91" t="s">
        <v>207</v>
      </c>
      <c r="E32" s="92"/>
      <c r="F32" s="86">
        <v>3866346.75</v>
      </c>
      <c r="G32" s="87">
        <f>11000000-F32</f>
        <v>7133653.25</v>
      </c>
      <c r="H32" s="10"/>
      <c r="L32" s="142">
        <v>7133653.25</v>
      </c>
    </row>
    <row r="33" ht="7.8" customHeight="1" spans="2:12">
      <c r="B33" s="5"/>
      <c r="C33" s="93"/>
      <c r="D33" s="94"/>
      <c r="E33" s="95"/>
      <c r="F33" s="96"/>
      <c r="G33" s="97"/>
      <c r="H33" s="10"/>
      <c r="L33" s="142"/>
    </row>
    <row r="34" ht="19.2" customHeight="1" spans="2:12">
      <c r="B34" s="5"/>
      <c r="C34" s="79" t="s">
        <v>20</v>
      </c>
      <c r="D34" s="98" t="s">
        <v>141</v>
      </c>
      <c r="E34" s="81"/>
      <c r="F34" s="82"/>
      <c r="G34" s="99"/>
      <c r="H34" s="10"/>
      <c r="L34" s="142">
        <v>14509106.75</v>
      </c>
    </row>
    <row r="35" ht="22.5" spans="2:12">
      <c r="B35" s="5"/>
      <c r="C35" s="93">
        <v>44934</v>
      </c>
      <c r="D35" s="151" t="s">
        <v>208</v>
      </c>
      <c r="E35" s="101"/>
      <c r="F35" s="102">
        <v>10793390</v>
      </c>
      <c r="G35" s="103"/>
      <c r="H35" s="10"/>
      <c r="L35" s="142">
        <v>14509106.75</v>
      </c>
    </row>
    <row r="36" ht="22.5" spans="2:8">
      <c r="B36" s="5"/>
      <c r="C36" s="104"/>
      <c r="D36" s="105"/>
      <c r="E36" s="106" t="s">
        <v>25</v>
      </c>
      <c r="F36" s="107">
        <f>F35-SUM(F30:F32)</f>
        <v>0</v>
      </c>
      <c r="G36" s="108"/>
      <c r="H36" s="10"/>
    </row>
    <row r="37" ht="10.2" customHeight="1" spans="2:8">
      <c r="B37" s="5"/>
      <c r="C37" s="109"/>
      <c r="D37" s="66"/>
      <c r="E37" s="66"/>
      <c r="F37" s="66"/>
      <c r="G37" s="110"/>
      <c r="H37" s="10"/>
    </row>
    <row r="38" ht="21.75" spans="2:12">
      <c r="B38" s="5"/>
      <c r="C38" s="111" t="s">
        <v>26</v>
      </c>
      <c r="D38" s="112"/>
      <c r="E38" s="112"/>
      <c r="F38" s="113">
        <f>F25+F35</f>
        <v>210240846.75</v>
      </c>
      <c r="G38" s="114">
        <f>G4-F38</f>
        <v>542889746.305</v>
      </c>
      <c r="H38" s="10"/>
      <c r="L38" s="143"/>
    </row>
    <row r="39" ht="21" spans="2:8">
      <c r="B39" s="5"/>
      <c r="C39" s="115" t="s">
        <v>27</v>
      </c>
      <c r="D39" s="116"/>
      <c r="E39" s="34"/>
      <c r="F39" s="117"/>
      <c r="G39" s="56"/>
      <c r="H39" s="10"/>
    </row>
    <row r="40" ht="22.5" spans="2:8">
      <c r="B40" s="5"/>
      <c r="C40" s="118" t="s">
        <v>28</v>
      </c>
      <c r="D40" s="119" t="s">
        <v>1</v>
      </c>
      <c r="E40" s="120">
        <f>F36</f>
        <v>0</v>
      </c>
      <c r="F40" s="117"/>
      <c r="G40" s="56"/>
      <c r="H40" s="10"/>
    </row>
    <row r="41" ht="21" spans="2:8">
      <c r="B41" s="5"/>
      <c r="C41" s="118" t="s">
        <v>29</v>
      </c>
      <c r="D41" s="119" t="s">
        <v>1</v>
      </c>
      <c r="E41" s="121" t="s">
        <v>30</v>
      </c>
      <c r="F41" s="117"/>
      <c r="G41" s="56"/>
      <c r="H41" s="10"/>
    </row>
    <row r="42" ht="21" spans="2:8">
      <c r="B42" s="5"/>
      <c r="C42" s="122" t="s">
        <v>31</v>
      </c>
      <c r="D42" s="123" t="s">
        <v>1</v>
      </c>
      <c r="E42" s="124" t="s">
        <v>32</v>
      </c>
      <c r="F42" s="125" t="s">
        <v>50</v>
      </c>
      <c r="G42" s="126"/>
      <c r="H42" s="10"/>
    </row>
    <row r="43" ht="6" customHeight="1" spans="2:8">
      <c r="B43" s="127"/>
      <c r="C43" s="128"/>
      <c r="D43" s="128"/>
      <c r="E43" s="128"/>
      <c r="F43" s="128"/>
      <c r="G43" s="128"/>
      <c r="H43" s="129"/>
    </row>
    <row r="44" ht="19.5" spans="3:7">
      <c r="C44" s="130"/>
      <c r="D44" s="130"/>
      <c r="E44" s="130"/>
      <c r="F44" s="130"/>
      <c r="G44" s="130"/>
    </row>
    <row r="45" ht="19.5" spans="3:7">
      <c r="C45" s="131" t="s">
        <v>34</v>
      </c>
      <c r="D45" s="132"/>
      <c r="E45" s="133"/>
      <c r="F45" s="134"/>
      <c r="G45" s="130"/>
    </row>
    <row r="46" ht="19.5" spans="3:7">
      <c r="C46" s="131"/>
      <c r="D46" s="132"/>
      <c r="E46" s="133"/>
      <c r="F46" s="135" t="s">
        <v>35</v>
      </c>
      <c r="G46" s="136">
        <v>15000000</v>
      </c>
    </row>
    <row r="47" ht="19.5" spans="3:7">
      <c r="C47" s="131" t="s">
        <v>36</v>
      </c>
      <c r="D47" s="132"/>
      <c r="E47" s="133">
        <v>75313059305.5</v>
      </c>
      <c r="F47" s="137" t="s">
        <v>37</v>
      </c>
      <c r="G47" s="138"/>
    </row>
    <row r="48" ht="19.5" spans="3:7">
      <c r="C48" s="139">
        <v>0.01</v>
      </c>
      <c r="D48" s="132"/>
      <c r="E48" s="133">
        <f>E47*C48</f>
        <v>753130593.055</v>
      </c>
      <c r="F48" s="137" t="s">
        <v>38</v>
      </c>
      <c r="G48" s="140"/>
    </row>
    <row r="49" ht="19.5" spans="3:7">
      <c r="C49" s="130"/>
      <c r="D49" s="130"/>
      <c r="E49" s="130"/>
      <c r="F49" s="130"/>
      <c r="G49" s="130"/>
    </row>
    <row r="50" ht="19.5" spans="3:7">
      <c r="C50" s="130"/>
      <c r="D50" s="130"/>
      <c r="E50" s="130"/>
      <c r="F50" s="130"/>
      <c r="G50" s="130"/>
    </row>
  </sheetData>
  <mergeCells count="2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7:E27"/>
    <mergeCell ref="D29:E29"/>
    <mergeCell ref="D30:E30"/>
    <mergeCell ref="D31:E31"/>
    <mergeCell ref="D32:E32"/>
    <mergeCell ref="D34:E34"/>
    <mergeCell ref="D35:E35"/>
    <mergeCell ref="C38:E38"/>
    <mergeCell ref="F42:G42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8" workbookViewId="0">
      <selection activeCell="D35" sqref="D35:E3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209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214866346.75</v>
      </c>
      <c r="H5" s="10"/>
    </row>
    <row r="6" ht="22.5" spans="2:8">
      <c r="B6" s="5"/>
      <c r="C6" s="11" t="s">
        <v>7</v>
      </c>
      <c r="D6" s="12" t="s">
        <v>1</v>
      </c>
      <c r="E6" s="15" t="s">
        <v>210</v>
      </c>
      <c r="F6" s="11" t="s">
        <v>9</v>
      </c>
      <c r="G6" s="14">
        <f>G4-G5</f>
        <v>538264246.305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0.714702405225081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211</v>
      </c>
      <c r="D24" s="48" t="s">
        <v>212</v>
      </c>
      <c r="E24" s="49"/>
      <c r="F24" s="50">
        <f>LK.23!F35</f>
        <v>10793390</v>
      </c>
      <c r="G24" s="58"/>
      <c r="H24" s="10"/>
    </row>
    <row r="25" ht="21" spans="2:8">
      <c r="B25" s="5"/>
      <c r="C25" s="51"/>
      <c r="D25" s="150" t="s">
        <v>213</v>
      </c>
      <c r="E25" s="53"/>
      <c r="F25" s="54"/>
      <c r="G25" s="60"/>
      <c r="H25" s="10"/>
    </row>
    <row r="26" ht="5.4" customHeight="1" spans="2:8">
      <c r="B26" s="5"/>
      <c r="C26" s="61"/>
      <c r="D26" s="62"/>
      <c r="E26" s="62"/>
      <c r="F26" s="63"/>
      <c r="G26" s="64"/>
      <c r="H26" s="10"/>
    </row>
    <row r="27" ht="22.5" spans="2:8">
      <c r="B27" s="5"/>
      <c r="C27" s="65"/>
      <c r="D27" s="66"/>
      <c r="E27" s="67" t="s">
        <v>18</v>
      </c>
      <c r="F27" s="68">
        <f>SUM(F12:F25)</f>
        <v>210240846.75</v>
      </c>
      <c r="G27" s="69">
        <f>G4-F27</f>
        <v>542889746.305</v>
      </c>
      <c r="H27" s="10"/>
    </row>
    <row r="28" ht="5.4" customHeight="1" spans="2:8">
      <c r="B28" s="5"/>
      <c r="C28" s="70"/>
      <c r="D28" s="71"/>
      <c r="E28" s="72"/>
      <c r="F28" s="73"/>
      <c r="G28" s="74"/>
      <c r="H28" s="10"/>
    </row>
    <row r="29" ht="22.5" spans="2:8">
      <c r="B29" s="5"/>
      <c r="C29" s="75"/>
      <c r="D29" s="28" t="s">
        <v>132</v>
      </c>
      <c r="E29" s="76"/>
      <c r="F29" s="77">
        <v>0</v>
      </c>
      <c r="G29" s="78"/>
      <c r="H29" s="10"/>
    </row>
    <row r="30" ht="6" customHeight="1" spans="2:8">
      <c r="B30" s="5"/>
      <c r="C30" s="75"/>
      <c r="D30" s="28"/>
      <c r="E30" s="76"/>
      <c r="F30" s="77"/>
      <c r="G30" s="78"/>
      <c r="H30" s="10"/>
    </row>
    <row r="31" ht="21" spans="2:8">
      <c r="B31" s="5"/>
      <c r="C31" s="79" t="s">
        <v>20</v>
      </c>
      <c r="D31" s="80" t="s">
        <v>133</v>
      </c>
      <c r="E31" s="81"/>
      <c r="F31" s="82" t="s">
        <v>134</v>
      </c>
      <c r="G31" s="83" t="s">
        <v>135</v>
      </c>
      <c r="H31" s="10"/>
    </row>
    <row r="32" ht="21" spans="2:12">
      <c r="B32" s="5"/>
      <c r="C32" s="79"/>
      <c r="D32" s="152" t="s">
        <v>214</v>
      </c>
      <c r="E32" s="85"/>
      <c r="F32" s="86">
        <v>0</v>
      </c>
      <c r="G32" s="87">
        <v>0</v>
      </c>
      <c r="H32" s="10"/>
      <c r="L32" s="1">
        <f>192500000+13000000</f>
        <v>205500000</v>
      </c>
    </row>
    <row r="33" ht="21" spans="2:12">
      <c r="B33" s="5"/>
      <c r="C33" s="93" t="s">
        <v>206</v>
      </c>
      <c r="D33" s="91" t="s">
        <v>215</v>
      </c>
      <c r="E33" s="92"/>
      <c r="F33" s="86">
        <v>4625500</v>
      </c>
      <c r="G33" s="87">
        <f>11000000-F33-3866346.75</f>
        <v>2508153.25</v>
      </c>
      <c r="H33" s="10"/>
      <c r="L33" s="142">
        <v>7133653.25</v>
      </c>
    </row>
    <row r="34" ht="7.8" customHeight="1" spans="2:12">
      <c r="B34" s="5"/>
      <c r="C34" s="93"/>
      <c r="D34" s="94"/>
      <c r="E34" s="95"/>
      <c r="F34" s="96"/>
      <c r="G34" s="97"/>
      <c r="H34" s="10"/>
      <c r="L34" s="142"/>
    </row>
    <row r="35" ht="19.2" customHeight="1" spans="2:12">
      <c r="B35" s="5"/>
      <c r="C35" s="79" t="s">
        <v>20</v>
      </c>
      <c r="D35" s="98" t="s">
        <v>141</v>
      </c>
      <c r="E35" s="81"/>
      <c r="F35" s="82"/>
      <c r="G35" s="99"/>
      <c r="H35" s="10"/>
      <c r="L35" s="142">
        <v>14509106.75</v>
      </c>
    </row>
    <row r="36" ht="22.5" spans="2:12">
      <c r="B36" s="5"/>
      <c r="C36" s="93">
        <v>44934</v>
      </c>
      <c r="D36" s="151" t="s">
        <v>216</v>
      </c>
      <c r="E36" s="101"/>
      <c r="F36" s="102">
        <v>4625500</v>
      </c>
      <c r="G36" s="103"/>
      <c r="H36" s="10"/>
      <c r="L36" s="142">
        <v>14509106.75</v>
      </c>
    </row>
    <row r="37" ht="22.5" spans="2:12">
      <c r="B37" s="5"/>
      <c r="C37" s="104"/>
      <c r="D37" s="105"/>
      <c r="E37" s="106" t="s">
        <v>25</v>
      </c>
      <c r="F37" s="107">
        <f>F36-SUM(F32:F33)</f>
        <v>0</v>
      </c>
      <c r="G37" s="108"/>
      <c r="H37" s="10"/>
      <c r="L37" s="141">
        <f>F33+G33+3866346.75</f>
        <v>11000000</v>
      </c>
    </row>
    <row r="38" ht="10.2" customHeight="1" spans="2:8">
      <c r="B38" s="5"/>
      <c r="C38" s="109"/>
      <c r="D38" s="66"/>
      <c r="E38" s="66"/>
      <c r="F38" s="66"/>
      <c r="G38" s="110"/>
      <c r="H38" s="10"/>
    </row>
    <row r="39" ht="21.75" spans="2:12">
      <c r="B39" s="5"/>
      <c r="C39" s="111" t="s">
        <v>26</v>
      </c>
      <c r="D39" s="112"/>
      <c r="E39" s="112"/>
      <c r="F39" s="113">
        <f>F27+F36</f>
        <v>214866346.75</v>
      </c>
      <c r="G39" s="114">
        <f>G4-F39</f>
        <v>538264246.305</v>
      </c>
      <c r="H39" s="10"/>
      <c r="L39" s="143"/>
    </row>
    <row r="40" ht="21" spans="2:8">
      <c r="B40" s="5"/>
      <c r="C40" s="115" t="s">
        <v>27</v>
      </c>
      <c r="D40" s="116"/>
      <c r="E40" s="34"/>
      <c r="F40" s="117"/>
      <c r="G40" s="56"/>
      <c r="H40" s="10"/>
    </row>
    <row r="41" ht="22.5" spans="2:8">
      <c r="B41" s="5"/>
      <c r="C41" s="118" t="s">
        <v>28</v>
      </c>
      <c r="D41" s="119" t="s">
        <v>1</v>
      </c>
      <c r="E41" s="120">
        <f>F37</f>
        <v>0</v>
      </c>
      <c r="F41" s="117"/>
      <c r="G41" s="56"/>
      <c r="H41" s="10"/>
    </row>
    <row r="42" ht="21" spans="2:8">
      <c r="B42" s="5"/>
      <c r="C42" s="118" t="s">
        <v>29</v>
      </c>
      <c r="D42" s="119" t="s">
        <v>1</v>
      </c>
      <c r="E42" s="121" t="s">
        <v>30</v>
      </c>
      <c r="F42" s="117"/>
      <c r="G42" s="56"/>
      <c r="H42" s="10"/>
    </row>
    <row r="43" ht="21" spans="2:8">
      <c r="B43" s="5"/>
      <c r="C43" s="122" t="s">
        <v>31</v>
      </c>
      <c r="D43" s="123" t="s">
        <v>1</v>
      </c>
      <c r="E43" s="124" t="s">
        <v>32</v>
      </c>
      <c r="F43" s="125" t="s">
        <v>50</v>
      </c>
      <c r="G43" s="126"/>
      <c r="H43" s="10"/>
    </row>
    <row r="44" ht="6" customHeight="1" spans="2:8">
      <c r="B44" s="127"/>
      <c r="C44" s="128"/>
      <c r="D44" s="128"/>
      <c r="E44" s="128"/>
      <c r="F44" s="128"/>
      <c r="G44" s="128"/>
      <c r="H44" s="129"/>
    </row>
    <row r="45" ht="19.5" spans="3:7">
      <c r="C45" s="130"/>
      <c r="D45" s="130"/>
      <c r="E45" s="130"/>
      <c r="F45" s="130"/>
      <c r="G45" s="130"/>
    </row>
    <row r="46" ht="19.5" spans="3:7">
      <c r="C46" s="131" t="s">
        <v>34</v>
      </c>
      <c r="D46" s="132"/>
      <c r="E46" s="133"/>
      <c r="F46" s="134"/>
      <c r="G46" s="130"/>
    </row>
    <row r="47" ht="19.5" spans="3:7">
      <c r="C47" s="131"/>
      <c r="D47" s="132"/>
      <c r="E47" s="133"/>
      <c r="F47" s="135" t="s">
        <v>35</v>
      </c>
      <c r="G47" s="136">
        <v>15000000</v>
      </c>
    </row>
    <row r="48" ht="19.5" spans="3:7">
      <c r="C48" s="131" t="s">
        <v>36</v>
      </c>
      <c r="D48" s="132"/>
      <c r="E48" s="133">
        <v>75313059305.5</v>
      </c>
      <c r="F48" s="137" t="s">
        <v>37</v>
      </c>
      <c r="G48" s="138"/>
    </row>
    <row r="49" ht="19.5" spans="3:7">
      <c r="C49" s="139">
        <v>0.01</v>
      </c>
      <c r="D49" s="132"/>
      <c r="E49" s="133">
        <f>E48*C49</f>
        <v>753130593.055</v>
      </c>
      <c r="F49" s="137" t="s">
        <v>38</v>
      </c>
      <c r="G49" s="140"/>
    </row>
    <row r="50" ht="19.5" spans="3:7">
      <c r="C50" s="130"/>
      <c r="D50" s="130"/>
      <c r="E50" s="130"/>
      <c r="F50" s="130"/>
      <c r="G50" s="130"/>
    </row>
    <row r="51" ht="19.5" spans="3:7">
      <c r="C51" s="130"/>
      <c r="D51" s="130"/>
      <c r="E51" s="130"/>
      <c r="F51" s="130"/>
      <c r="G51" s="130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2"/>
  <sheetViews>
    <sheetView view="pageBreakPreview" zoomScale="85" zoomScaleNormal="85" topLeftCell="A16" workbookViewId="0">
      <selection activeCell="G36" sqref="G3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217</v>
      </c>
      <c r="F4" s="6" t="s">
        <v>3</v>
      </c>
      <c r="G4" s="9">
        <f>+E50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F40</f>
        <v>220566382.75</v>
      </c>
      <c r="H5" s="10"/>
    </row>
    <row r="6" ht="22.5" spans="2:8">
      <c r="B6" s="5"/>
      <c r="C6" s="11" t="s">
        <v>7</v>
      </c>
      <c r="D6" s="12" t="s">
        <v>1</v>
      </c>
      <c r="E6" s="15" t="s">
        <v>218</v>
      </c>
      <c r="F6" s="11" t="s">
        <v>9</v>
      </c>
      <c r="G6" s="14">
        <f>G4-G5</f>
        <v>532564210.305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0.707133948900822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219</v>
      </c>
      <c r="D24" s="48" t="s">
        <v>220</v>
      </c>
      <c r="E24" s="49"/>
      <c r="F24" s="50">
        <f>LK.23!F35+LK.24!F36</f>
        <v>15418890</v>
      </c>
      <c r="G24" s="58"/>
      <c r="H24" s="10"/>
    </row>
    <row r="25" ht="21" spans="2:12">
      <c r="B25" s="5"/>
      <c r="C25" s="51"/>
      <c r="D25" s="150" t="s">
        <v>221</v>
      </c>
      <c r="E25" s="53"/>
      <c r="F25" s="54"/>
      <c r="G25" s="60"/>
      <c r="H25" s="10"/>
      <c r="L25" s="1">
        <f>4625500+3866346.75</f>
        <v>8491846.75</v>
      </c>
    </row>
    <row r="26" ht="5.4" customHeight="1" spans="2:8">
      <c r="B26" s="5"/>
      <c r="C26" s="61"/>
      <c r="D26" s="62"/>
      <c r="E26" s="62"/>
      <c r="F26" s="63"/>
      <c r="G26" s="64"/>
      <c r="H26" s="10"/>
    </row>
    <row r="27" ht="22.5" spans="2:8">
      <c r="B27" s="5"/>
      <c r="C27" s="65"/>
      <c r="D27" s="66"/>
      <c r="E27" s="67" t="s">
        <v>18</v>
      </c>
      <c r="F27" s="68">
        <f>SUM(F12:F25)</f>
        <v>214866346.75</v>
      </c>
      <c r="G27" s="69">
        <f>G4-F27</f>
        <v>538264246.305</v>
      </c>
      <c r="H27" s="10"/>
    </row>
    <row r="28" ht="5.4" customHeight="1" spans="2:8">
      <c r="B28" s="5"/>
      <c r="C28" s="70"/>
      <c r="D28" s="71"/>
      <c r="E28" s="72"/>
      <c r="F28" s="73"/>
      <c r="G28" s="74"/>
      <c r="H28" s="10"/>
    </row>
    <row r="29" ht="22.5" spans="2:8">
      <c r="B29" s="5"/>
      <c r="C29" s="75"/>
      <c r="D29" s="28" t="s">
        <v>132</v>
      </c>
      <c r="E29" s="76"/>
      <c r="F29" s="77">
        <v>0</v>
      </c>
      <c r="G29" s="78"/>
      <c r="H29" s="10"/>
    </row>
    <row r="30" ht="6" customHeight="1" spans="2:8">
      <c r="B30" s="5"/>
      <c r="C30" s="75"/>
      <c r="D30" s="28"/>
      <c r="E30" s="76"/>
      <c r="F30" s="77"/>
      <c r="G30" s="78"/>
      <c r="H30" s="10"/>
    </row>
    <row r="31" ht="21" spans="2:8">
      <c r="B31" s="5"/>
      <c r="C31" s="79" t="s">
        <v>20</v>
      </c>
      <c r="D31" s="80" t="s">
        <v>133</v>
      </c>
      <c r="E31" s="81"/>
      <c r="F31" s="82" t="s">
        <v>134</v>
      </c>
      <c r="G31" s="83" t="s">
        <v>135</v>
      </c>
      <c r="H31" s="10"/>
    </row>
    <row r="32" ht="21" spans="2:12">
      <c r="B32" s="5"/>
      <c r="C32" s="79"/>
      <c r="D32" s="152" t="s">
        <v>214</v>
      </c>
      <c r="E32" s="85"/>
      <c r="F32" s="86">
        <v>0</v>
      </c>
      <c r="G32" s="87">
        <v>0</v>
      </c>
      <c r="H32" s="10"/>
      <c r="L32" s="1">
        <f>192500000+13000000</f>
        <v>205500000</v>
      </c>
    </row>
    <row r="33" ht="21" spans="2:8">
      <c r="B33" s="5"/>
      <c r="C33" s="93" t="s">
        <v>206</v>
      </c>
      <c r="D33" s="91" t="s">
        <v>222</v>
      </c>
      <c r="E33" s="92"/>
      <c r="F33" s="86">
        <v>2508153.25</v>
      </c>
      <c r="G33" s="87">
        <v>0</v>
      </c>
      <c r="H33" s="10"/>
    </row>
    <row r="34" ht="21" spans="2:12">
      <c r="B34" s="5"/>
      <c r="C34" s="93" t="s">
        <v>223</v>
      </c>
      <c r="D34" s="91" t="s">
        <v>224</v>
      </c>
      <c r="E34" s="92"/>
      <c r="F34" s="87">
        <v>3191882.75</v>
      </c>
      <c r="G34" s="87">
        <f>18000000-F34</f>
        <v>14808117.25</v>
      </c>
      <c r="H34" s="10"/>
      <c r="L34" s="142">
        <v>7133653.25</v>
      </c>
    </row>
    <row r="35" ht="7.8" customHeight="1" spans="2:12">
      <c r="B35" s="5"/>
      <c r="C35" s="93"/>
      <c r="D35" s="94"/>
      <c r="E35" s="95"/>
      <c r="F35" s="96"/>
      <c r="G35" s="97"/>
      <c r="H35" s="10"/>
      <c r="L35" s="142"/>
    </row>
    <row r="36" ht="19.2" customHeight="1" spans="2:12">
      <c r="B36" s="5"/>
      <c r="C36" s="79" t="s">
        <v>20</v>
      </c>
      <c r="D36" s="98" t="s">
        <v>141</v>
      </c>
      <c r="E36" s="81"/>
      <c r="F36" s="82"/>
      <c r="G36" s="99"/>
      <c r="H36" s="10"/>
      <c r="L36" s="142">
        <v>14509106.75</v>
      </c>
    </row>
    <row r="37" ht="22.5" spans="2:12">
      <c r="B37" s="5"/>
      <c r="C37" s="93">
        <v>44934</v>
      </c>
      <c r="D37" s="151" t="s">
        <v>225</v>
      </c>
      <c r="E37" s="101"/>
      <c r="F37" s="102">
        <v>5700036</v>
      </c>
      <c r="G37" s="103"/>
      <c r="H37" s="10"/>
      <c r="L37" s="142">
        <v>14509106.75</v>
      </c>
    </row>
    <row r="38" ht="22.5" spans="2:12">
      <c r="B38" s="5"/>
      <c r="C38" s="104"/>
      <c r="D38" s="105"/>
      <c r="E38" s="106" t="s">
        <v>25</v>
      </c>
      <c r="F38" s="107">
        <f>F37-SUM(F32:F34)</f>
        <v>0</v>
      </c>
      <c r="G38" s="108"/>
      <c r="H38" s="10"/>
      <c r="L38" s="141">
        <f>F34+G34+3866346.75</f>
        <v>21866346.75</v>
      </c>
    </row>
    <row r="39" ht="10.2" customHeight="1" spans="2:8">
      <c r="B39" s="5"/>
      <c r="C39" s="109"/>
      <c r="D39" s="66"/>
      <c r="E39" s="66"/>
      <c r="F39" s="66"/>
      <c r="G39" s="110"/>
      <c r="H39" s="10"/>
    </row>
    <row r="40" ht="21.75" spans="2:12">
      <c r="B40" s="5"/>
      <c r="C40" s="111" t="s">
        <v>26</v>
      </c>
      <c r="D40" s="112"/>
      <c r="E40" s="112"/>
      <c r="F40" s="113">
        <f>F27+F37</f>
        <v>220566382.75</v>
      </c>
      <c r="G40" s="114">
        <f>G4-F40</f>
        <v>532564210.305</v>
      </c>
      <c r="H40" s="10"/>
      <c r="L40" s="143"/>
    </row>
    <row r="41" ht="21" spans="2:8">
      <c r="B41" s="5"/>
      <c r="C41" s="115" t="s">
        <v>27</v>
      </c>
      <c r="D41" s="116"/>
      <c r="E41" s="34"/>
      <c r="F41" s="117"/>
      <c r="G41" s="56"/>
      <c r="H41" s="10"/>
    </row>
    <row r="42" ht="22.5" spans="2:8">
      <c r="B42" s="5"/>
      <c r="C42" s="118" t="s">
        <v>28</v>
      </c>
      <c r="D42" s="119" t="s">
        <v>1</v>
      </c>
      <c r="E42" s="120">
        <f>F38</f>
        <v>0</v>
      </c>
      <c r="F42" s="117"/>
      <c r="G42" s="56"/>
      <c r="H42" s="10"/>
    </row>
    <row r="43" ht="21" spans="2:8">
      <c r="B43" s="5"/>
      <c r="C43" s="118" t="s">
        <v>29</v>
      </c>
      <c r="D43" s="119" t="s">
        <v>1</v>
      </c>
      <c r="E43" s="121" t="s">
        <v>30</v>
      </c>
      <c r="F43" s="117"/>
      <c r="G43" s="56"/>
      <c r="H43" s="10"/>
    </row>
    <row r="44" ht="21" spans="2:8">
      <c r="B44" s="5"/>
      <c r="C44" s="122" t="s">
        <v>31</v>
      </c>
      <c r="D44" s="123" t="s">
        <v>1</v>
      </c>
      <c r="E44" s="124" t="s">
        <v>32</v>
      </c>
      <c r="F44" s="125" t="s">
        <v>50</v>
      </c>
      <c r="G44" s="126"/>
      <c r="H44" s="10"/>
    </row>
    <row r="45" ht="6" customHeight="1" spans="2:8">
      <c r="B45" s="127"/>
      <c r="C45" s="128"/>
      <c r="D45" s="128"/>
      <c r="E45" s="128"/>
      <c r="F45" s="128"/>
      <c r="G45" s="128"/>
      <c r="H45" s="129"/>
    </row>
    <row r="46" ht="19.5" spans="3:7">
      <c r="C46" s="130"/>
      <c r="D46" s="130"/>
      <c r="E46" s="130"/>
      <c r="F46" s="130"/>
      <c r="G46" s="130"/>
    </row>
    <row r="47" ht="19.5" spans="3:7">
      <c r="C47" s="131" t="s">
        <v>34</v>
      </c>
      <c r="D47" s="132"/>
      <c r="E47" s="133"/>
      <c r="F47" s="134"/>
      <c r="G47" s="130"/>
    </row>
    <row r="48" ht="19.5" spans="3:7">
      <c r="C48" s="131"/>
      <c r="D48" s="132"/>
      <c r="E48" s="133"/>
      <c r="F48" s="135" t="s">
        <v>35</v>
      </c>
      <c r="G48" s="136">
        <v>15000000</v>
      </c>
    </row>
    <row r="49" ht="19.5" spans="3:7">
      <c r="C49" s="131" t="s">
        <v>36</v>
      </c>
      <c r="D49" s="132"/>
      <c r="E49" s="133">
        <v>75313059305.5</v>
      </c>
      <c r="F49" s="137" t="s">
        <v>37</v>
      </c>
      <c r="G49" s="138"/>
    </row>
    <row r="50" ht="19.5" spans="3:7">
      <c r="C50" s="139">
        <v>0.01</v>
      </c>
      <c r="D50" s="132"/>
      <c r="E50" s="133">
        <f>E49*C50</f>
        <v>753130593.055</v>
      </c>
      <c r="F50" s="137" t="s">
        <v>38</v>
      </c>
      <c r="G50" s="140"/>
    </row>
    <row r="51" ht="19.5" spans="3:7">
      <c r="C51" s="130"/>
      <c r="D51" s="130"/>
      <c r="E51" s="130"/>
      <c r="F51" s="130"/>
      <c r="G51" s="130"/>
    </row>
    <row r="52" ht="19.5" spans="3:7">
      <c r="C52" s="130"/>
      <c r="D52" s="130"/>
      <c r="E52" s="130"/>
      <c r="F52" s="130"/>
      <c r="G52" s="130"/>
    </row>
  </sheetData>
  <mergeCells count="2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4:E34"/>
    <mergeCell ref="D36:E36"/>
    <mergeCell ref="D37:E37"/>
    <mergeCell ref="C40:E40"/>
    <mergeCell ref="F44:G44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6" workbookViewId="0">
      <selection activeCell="F33" sqref="F3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226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225890832.75</v>
      </c>
      <c r="H5" s="10"/>
    </row>
    <row r="6" ht="22.5" spans="2:8">
      <c r="B6" s="5"/>
      <c r="C6" s="11" t="s">
        <v>7</v>
      </c>
      <c r="D6" s="12" t="s">
        <v>1</v>
      </c>
      <c r="E6" s="15" t="s">
        <v>227</v>
      </c>
      <c r="F6" s="11" t="s">
        <v>9</v>
      </c>
      <c r="G6" s="14">
        <f>G4-G5</f>
        <v>527239760.305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0.700064192275478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228</v>
      </c>
      <c r="D24" s="48" t="s">
        <v>229</v>
      </c>
      <c r="E24" s="49"/>
      <c r="F24" s="50">
        <f>LK.23!F35+LK.24!F36+LK.25!F37</f>
        <v>21118926</v>
      </c>
      <c r="G24" s="58"/>
      <c r="H24" s="10"/>
    </row>
    <row r="25" ht="21" spans="2:12">
      <c r="B25" s="5"/>
      <c r="C25" s="51"/>
      <c r="D25" s="150" t="s">
        <v>230</v>
      </c>
      <c r="E25" s="53"/>
      <c r="F25" s="54"/>
      <c r="G25" s="60"/>
      <c r="H25" s="10"/>
      <c r="L25" s="1">
        <f>4625500+3866346.75</f>
        <v>8491846.75</v>
      </c>
    </row>
    <row r="26" ht="5.4" customHeight="1" spans="2:8">
      <c r="B26" s="5"/>
      <c r="C26" s="61"/>
      <c r="D26" s="62"/>
      <c r="E26" s="62"/>
      <c r="F26" s="63"/>
      <c r="G26" s="64"/>
      <c r="H26" s="10"/>
    </row>
    <row r="27" ht="22.5" spans="2:8">
      <c r="B27" s="5"/>
      <c r="C27" s="65"/>
      <c r="D27" s="66"/>
      <c r="E27" s="67" t="s">
        <v>18</v>
      </c>
      <c r="F27" s="68">
        <f>SUM(F12:F25)</f>
        <v>220566382.75</v>
      </c>
      <c r="G27" s="69">
        <f>G4-F27</f>
        <v>532564210.305</v>
      </c>
      <c r="H27" s="10"/>
    </row>
    <row r="28" ht="5.4" customHeight="1" spans="2:8">
      <c r="B28" s="5"/>
      <c r="C28" s="70"/>
      <c r="D28" s="71"/>
      <c r="E28" s="72"/>
      <c r="F28" s="73"/>
      <c r="G28" s="74"/>
      <c r="H28" s="10"/>
    </row>
    <row r="29" ht="22.5" spans="2:8">
      <c r="B29" s="5"/>
      <c r="C29" s="75"/>
      <c r="D29" s="28" t="s">
        <v>132</v>
      </c>
      <c r="E29" s="76"/>
      <c r="F29" s="77">
        <v>0</v>
      </c>
      <c r="G29" s="78"/>
      <c r="H29" s="10"/>
    </row>
    <row r="30" ht="6" customHeight="1" spans="2:8">
      <c r="B30" s="5"/>
      <c r="C30" s="75"/>
      <c r="D30" s="28"/>
      <c r="E30" s="76"/>
      <c r="F30" s="77"/>
      <c r="G30" s="78"/>
      <c r="H30" s="10"/>
    </row>
    <row r="31" ht="21" spans="2:8">
      <c r="B31" s="5"/>
      <c r="C31" s="79" t="s">
        <v>20</v>
      </c>
      <c r="D31" s="80" t="s">
        <v>133</v>
      </c>
      <c r="E31" s="81"/>
      <c r="F31" s="82" t="s">
        <v>134</v>
      </c>
      <c r="G31" s="83" t="s">
        <v>135</v>
      </c>
      <c r="H31" s="10"/>
    </row>
    <row r="32" ht="21" spans="2:12">
      <c r="B32" s="5"/>
      <c r="C32" s="79"/>
      <c r="D32" s="152" t="s">
        <v>231</v>
      </c>
      <c r="E32" s="85"/>
      <c r="F32" s="86">
        <v>0</v>
      </c>
      <c r="G32" s="87">
        <v>0</v>
      </c>
      <c r="H32" s="10"/>
      <c r="L32" s="1">
        <f>192500000+13000000+11000000+18000000</f>
        <v>234500000</v>
      </c>
    </row>
    <row r="33" ht="21" spans="2:12">
      <c r="B33" s="5"/>
      <c r="C33" s="93" t="s">
        <v>223</v>
      </c>
      <c r="D33" s="91" t="s">
        <v>232</v>
      </c>
      <c r="E33" s="92"/>
      <c r="F33" s="87">
        <v>5324450</v>
      </c>
      <c r="G33" s="87">
        <f>18000000-F33-3191882.75</f>
        <v>9483667.25</v>
      </c>
      <c r="H33" s="10"/>
      <c r="L33" s="142">
        <v>7133653.25</v>
      </c>
    </row>
    <row r="34" ht="7.8" customHeight="1" spans="2:12">
      <c r="B34" s="5"/>
      <c r="C34" s="93"/>
      <c r="D34" s="94"/>
      <c r="E34" s="95"/>
      <c r="F34" s="96"/>
      <c r="G34" s="97"/>
      <c r="H34" s="10"/>
      <c r="L34" s="142"/>
    </row>
    <row r="35" ht="19.2" customHeight="1" spans="2:12">
      <c r="B35" s="5"/>
      <c r="C35" s="79" t="s">
        <v>20</v>
      </c>
      <c r="D35" s="98" t="s">
        <v>141</v>
      </c>
      <c r="E35" s="81"/>
      <c r="F35" s="82"/>
      <c r="G35" s="99"/>
      <c r="H35" s="10"/>
      <c r="L35" s="142">
        <v>14509106.75</v>
      </c>
    </row>
    <row r="36" ht="22.5" spans="2:12">
      <c r="B36" s="5"/>
      <c r="C36" s="93">
        <v>44934</v>
      </c>
      <c r="D36" s="151" t="s">
        <v>233</v>
      </c>
      <c r="E36" s="101"/>
      <c r="F36" s="102">
        <v>5324450</v>
      </c>
      <c r="G36" s="103"/>
      <c r="H36" s="10"/>
      <c r="L36" s="142">
        <v>14509106.75</v>
      </c>
    </row>
    <row r="37" ht="22.5" spans="2:12">
      <c r="B37" s="5"/>
      <c r="C37" s="104"/>
      <c r="D37" s="105"/>
      <c r="E37" s="106" t="s">
        <v>25</v>
      </c>
      <c r="F37" s="107">
        <f>F36-SUM(F32:F33)</f>
        <v>0</v>
      </c>
      <c r="G37" s="108"/>
      <c r="H37" s="10"/>
      <c r="L37" s="141">
        <f>F33+G33+3866346.75</f>
        <v>18674464</v>
      </c>
    </row>
    <row r="38" ht="10.2" customHeight="1" spans="2:8">
      <c r="B38" s="5"/>
      <c r="C38" s="109"/>
      <c r="D38" s="66"/>
      <c r="E38" s="66"/>
      <c r="F38" s="66"/>
      <c r="G38" s="110"/>
      <c r="H38" s="10"/>
    </row>
    <row r="39" ht="21.75" spans="2:12">
      <c r="B39" s="5"/>
      <c r="C39" s="111" t="s">
        <v>26</v>
      </c>
      <c r="D39" s="112"/>
      <c r="E39" s="112"/>
      <c r="F39" s="113">
        <f>F27+F36</f>
        <v>225890832.75</v>
      </c>
      <c r="G39" s="114">
        <f>G4-F39</f>
        <v>527239760.305</v>
      </c>
      <c r="H39" s="10"/>
      <c r="L39" s="143">
        <v>9483667.25</v>
      </c>
    </row>
    <row r="40" ht="21" spans="2:8">
      <c r="B40" s="5"/>
      <c r="C40" s="115" t="s">
        <v>27</v>
      </c>
      <c r="D40" s="116"/>
      <c r="E40" s="34"/>
      <c r="F40" s="117"/>
      <c r="G40" s="56"/>
      <c r="H40" s="10"/>
    </row>
    <row r="41" ht="22.5" spans="2:8">
      <c r="B41" s="5"/>
      <c r="C41" s="118" t="s">
        <v>28</v>
      </c>
      <c r="D41" s="119" t="s">
        <v>1</v>
      </c>
      <c r="E41" s="120">
        <f>F37</f>
        <v>0</v>
      </c>
      <c r="F41" s="117"/>
      <c r="G41" s="56"/>
      <c r="H41" s="10"/>
    </row>
    <row r="42" ht="21" spans="2:8">
      <c r="B42" s="5"/>
      <c r="C42" s="118" t="s">
        <v>29</v>
      </c>
      <c r="D42" s="119" t="s">
        <v>1</v>
      </c>
      <c r="E42" s="121" t="s">
        <v>30</v>
      </c>
      <c r="F42" s="117"/>
      <c r="G42" s="56"/>
      <c r="H42" s="10"/>
    </row>
    <row r="43" ht="21" spans="2:8">
      <c r="B43" s="5"/>
      <c r="C43" s="122" t="s">
        <v>31</v>
      </c>
      <c r="D43" s="123" t="s">
        <v>1</v>
      </c>
      <c r="E43" s="124" t="s">
        <v>32</v>
      </c>
      <c r="F43" s="125" t="s">
        <v>50</v>
      </c>
      <c r="G43" s="126"/>
      <c r="H43" s="10"/>
    </row>
    <row r="44" ht="6" customHeight="1" spans="2:8">
      <c r="B44" s="127"/>
      <c r="C44" s="128"/>
      <c r="D44" s="128"/>
      <c r="E44" s="128"/>
      <c r="F44" s="128"/>
      <c r="G44" s="128"/>
      <c r="H44" s="129"/>
    </row>
    <row r="45" ht="19.5" spans="3:7">
      <c r="C45" s="130"/>
      <c r="D45" s="130"/>
      <c r="E45" s="130"/>
      <c r="F45" s="130"/>
      <c r="G45" s="130"/>
    </row>
    <row r="46" ht="19.5" spans="3:7">
      <c r="C46" s="131" t="s">
        <v>34</v>
      </c>
      <c r="D46" s="132"/>
      <c r="E46" s="133"/>
      <c r="F46" s="134"/>
      <c r="G46" s="130"/>
    </row>
    <row r="47" ht="19.5" spans="3:7">
      <c r="C47" s="131"/>
      <c r="D47" s="132"/>
      <c r="E47" s="133"/>
      <c r="F47" s="135" t="s">
        <v>35</v>
      </c>
      <c r="G47" s="136">
        <v>15000000</v>
      </c>
    </row>
    <row r="48" ht="19.5" spans="3:7">
      <c r="C48" s="131" t="s">
        <v>36</v>
      </c>
      <c r="D48" s="132"/>
      <c r="E48" s="133">
        <v>75313059305.5</v>
      </c>
      <c r="F48" s="137" t="s">
        <v>37</v>
      </c>
      <c r="G48" s="138"/>
    </row>
    <row r="49" ht="19.5" spans="3:7">
      <c r="C49" s="139">
        <v>0.01</v>
      </c>
      <c r="D49" s="132"/>
      <c r="E49" s="133">
        <f>E48*C49</f>
        <v>753130593.055</v>
      </c>
      <c r="F49" s="137" t="s">
        <v>38</v>
      </c>
      <c r="G49" s="140"/>
    </row>
    <row r="50" ht="19.5" spans="3:7">
      <c r="C50" s="130"/>
      <c r="D50" s="130"/>
      <c r="E50" s="130"/>
      <c r="F50" s="130"/>
      <c r="G50" s="130"/>
    </row>
    <row r="51" ht="19.5" spans="3:7">
      <c r="C51" s="130"/>
      <c r="D51" s="130"/>
      <c r="E51" s="130"/>
      <c r="F51" s="130"/>
      <c r="G51" s="130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1"/>
  <sheetViews>
    <sheetView view="pageBreakPreview" zoomScale="85" zoomScaleNormal="85" topLeftCell="A13" workbookViewId="0">
      <selection activeCell="D32" sqref="D32:E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234</v>
      </c>
      <c r="F4" s="6" t="s">
        <v>3</v>
      </c>
      <c r="G4" s="9">
        <f>+E49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F39</f>
        <v>232310132.75</v>
      </c>
      <c r="H5" s="10"/>
    </row>
    <row r="6" ht="22.5" spans="2:8">
      <c r="B6" s="5"/>
      <c r="C6" s="11" t="s">
        <v>7</v>
      </c>
      <c r="D6" s="12" t="s">
        <v>1</v>
      </c>
      <c r="E6" s="15" t="s">
        <v>235</v>
      </c>
      <c r="F6" s="11" t="s">
        <v>9</v>
      </c>
      <c r="G6" s="14">
        <f>G4-G5</f>
        <v>520820460.305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0.691540703707631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12">
      <c r="B25" s="5"/>
      <c r="C25" s="51"/>
      <c r="D25" s="150" t="s">
        <v>238</v>
      </c>
      <c r="E25" s="53"/>
      <c r="F25" s="54"/>
      <c r="G25" s="60"/>
      <c r="H25" s="10"/>
      <c r="L25" s="1">
        <f>4625500+3866346.75</f>
        <v>8491846.75</v>
      </c>
    </row>
    <row r="26" ht="5.4" customHeight="1" spans="2:8">
      <c r="B26" s="5"/>
      <c r="C26" s="61"/>
      <c r="D26" s="62"/>
      <c r="E26" s="62"/>
      <c r="F26" s="63"/>
      <c r="G26" s="64"/>
      <c r="H26" s="10"/>
    </row>
    <row r="27" ht="22.5" spans="2:8">
      <c r="B27" s="5"/>
      <c r="C27" s="65"/>
      <c r="D27" s="66"/>
      <c r="E27" s="67" t="s">
        <v>18</v>
      </c>
      <c r="F27" s="68">
        <f>SUM(F12:F25)</f>
        <v>225890832.75</v>
      </c>
      <c r="G27" s="69">
        <f>G4-F27</f>
        <v>527239760.305</v>
      </c>
      <c r="H27" s="10"/>
    </row>
    <row r="28" ht="5.4" customHeight="1" spans="2:8">
      <c r="B28" s="5"/>
      <c r="C28" s="70"/>
      <c r="D28" s="71"/>
      <c r="E28" s="72"/>
      <c r="F28" s="73"/>
      <c r="G28" s="74"/>
      <c r="H28" s="10"/>
    </row>
    <row r="29" ht="22.5" spans="2:8">
      <c r="B29" s="5"/>
      <c r="C29" s="75"/>
      <c r="D29" s="28" t="s">
        <v>132</v>
      </c>
      <c r="E29" s="76"/>
      <c r="F29" s="77">
        <v>0</v>
      </c>
      <c r="G29" s="78"/>
      <c r="H29" s="10"/>
    </row>
    <row r="30" ht="6" customHeight="1" spans="2:8">
      <c r="B30" s="5"/>
      <c r="C30" s="75"/>
      <c r="D30" s="28"/>
      <c r="E30" s="76"/>
      <c r="F30" s="77"/>
      <c r="G30" s="78"/>
      <c r="H30" s="10"/>
    </row>
    <row r="31" ht="21" spans="2:8">
      <c r="B31" s="5"/>
      <c r="C31" s="79" t="s">
        <v>20</v>
      </c>
      <c r="D31" s="80" t="s">
        <v>133</v>
      </c>
      <c r="E31" s="81"/>
      <c r="F31" s="82" t="s">
        <v>134</v>
      </c>
      <c r="G31" s="83" t="s">
        <v>135</v>
      </c>
      <c r="H31" s="10"/>
    </row>
    <row r="32" ht="21" spans="2:12">
      <c r="B32" s="5"/>
      <c r="C32" s="79"/>
      <c r="D32" s="152" t="s">
        <v>239</v>
      </c>
      <c r="E32" s="85"/>
      <c r="F32" s="86">
        <v>0</v>
      </c>
      <c r="G32" s="87">
        <v>0</v>
      </c>
      <c r="H32" s="10"/>
      <c r="L32" s="1">
        <f>192500000+13000000</f>
        <v>205500000</v>
      </c>
    </row>
    <row r="33" ht="21" spans="2:12">
      <c r="B33" s="5"/>
      <c r="C33" s="93" t="s">
        <v>223</v>
      </c>
      <c r="D33" s="91" t="s">
        <v>240</v>
      </c>
      <c r="E33" s="92"/>
      <c r="F33" s="87">
        <v>6419300</v>
      </c>
      <c r="G33" s="87">
        <f>18000000-F33-8516332.75</f>
        <v>3064367.25</v>
      </c>
      <c r="H33" s="10"/>
      <c r="L33" s="142">
        <v>7133653.25</v>
      </c>
    </row>
    <row r="34" ht="7.8" customHeight="1" spans="2:12">
      <c r="B34" s="5"/>
      <c r="C34" s="93"/>
      <c r="D34" s="94"/>
      <c r="E34" s="95"/>
      <c r="F34" s="96"/>
      <c r="G34" s="97"/>
      <c r="H34" s="10"/>
      <c r="L34" s="142"/>
    </row>
    <row r="35" ht="19.2" customHeight="1" spans="2:12">
      <c r="B35" s="5"/>
      <c r="C35" s="79" t="s">
        <v>20</v>
      </c>
      <c r="D35" s="98" t="s">
        <v>141</v>
      </c>
      <c r="E35" s="81"/>
      <c r="F35" s="82"/>
      <c r="G35" s="99"/>
      <c r="H35" s="10"/>
      <c r="L35" s="142">
        <v>14509106.75</v>
      </c>
    </row>
    <row r="36" ht="22.5" spans="2:12">
      <c r="B36" s="5"/>
      <c r="C36" s="93">
        <v>44934</v>
      </c>
      <c r="D36" s="151" t="s">
        <v>241</v>
      </c>
      <c r="E36" s="101"/>
      <c r="F36" s="102">
        <v>6419300</v>
      </c>
      <c r="G36" s="103"/>
      <c r="H36" s="10"/>
      <c r="L36" s="142">
        <v>14509106.75</v>
      </c>
    </row>
    <row r="37" ht="22.5" spans="2:12">
      <c r="B37" s="5"/>
      <c r="C37" s="104"/>
      <c r="D37" s="105"/>
      <c r="E37" s="106" t="s">
        <v>25</v>
      </c>
      <c r="F37" s="107">
        <f>F36-SUM(F32:F33)</f>
        <v>0</v>
      </c>
      <c r="G37" s="108"/>
      <c r="H37" s="10"/>
      <c r="L37" s="141">
        <f>F33+G33+3866346.75</f>
        <v>13350014</v>
      </c>
    </row>
    <row r="38" ht="10.2" customHeight="1" spans="2:8">
      <c r="B38" s="5"/>
      <c r="C38" s="109"/>
      <c r="D38" s="66"/>
      <c r="E38" s="66"/>
      <c r="F38" s="66"/>
      <c r="G38" s="110"/>
      <c r="H38" s="10"/>
    </row>
    <row r="39" ht="21.75" spans="2:12">
      <c r="B39" s="5"/>
      <c r="C39" s="111" t="s">
        <v>26</v>
      </c>
      <c r="D39" s="112"/>
      <c r="E39" s="112"/>
      <c r="F39" s="113">
        <f>F27+F36</f>
        <v>232310132.75</v>
      </c>
      <c r="G39" s="114">
        <f>G4-F39</f>
        <v>520820460.305</v>
      </c>
      <c r="H39" s="10"/>
      <c r="L39" s="143">
        <v>3064367.25</v>
      </c>
    </row>
    <row r="40" ht="21" spans="2:12">
      <c r="B40" s="5"/>
      <c r="C40" s="115" t="s">
        <v>27</v>
      </c>
      <c r="D40" s="116"/>
      <c r="E40" s="34"/>
      <c r="F40" s="117"/>
      <c r="G40" s="56"/>
      <c r="H40" s="10"/>
      <c r="L40" s="1">
        <f>5324450+3191882.75</f>
        <v>8516332.75</v>
      </c>
    </row>
    <row r="41" ht="22.5" spans="2:8">
      <c r="B41" s="5"/>
      <c r="C41" s="118" t="s">
        <v>28</v>
      </c>
      <c r="D41" s="119" t="s">
        <v>1</v>
      </c>
      <c r="E41" s="120">
        <f>F37</f>
        <v>0</v>
      </c>
      <c r="F41" s="117"/>
      <c r="G41" s="56"/>
      <c r="H41" s="10"/>
    </row>
    <row r="42" ht="21" spans="2:8">
      <c r="B42" s="5"/>
      <c r="C42" s="118" t="s">
        <v>29</v>
      </c>
      <c r="D42" s="119" t="s">
        <v>1</v>
      </c>
      <c r="E42" s="121" t="s">
        <v>30</v>
      </c>
      <c r="F42" s="117"/>
      <c r="G42" s="56"/>
      <c r="H42" s="10"/>
    </row>
    <row r="43" ht="21" spans="2:8">
      <c r="B43" s="5"/>
      <c r="C43" s="122" t="s">
        <v>31</v>
      </c>
      <c r="D43" s="123" t="s">
        <v>1</v>
      </c>
      <c r="E43" s="124" t="s">
        <v>32</v>
      </c>
      <c r="F43" s="125" t="s">
        <v>50</v>
      </c>
      <c r="G43" s="126"/>
      <c r="H43" s="10"/>
    </row>
    <row r="44" ht="6" customHeight="1" spans="2:8">
      <c r="B44" s="127"/>
      <c r="C44" s="128"/>
      <c r="D44" s="128"/>
      <c r="E44" s="128"/>
      <c r="F44" s="128"/>
      <c r="G44" s="128"/>
      <c r="H44" s="129"/>
    </row>
    <row r="45" ht="19.5" spans="3:7">
      <c r="C45" s="130"/>
      <c r="D45" s="130"/>
      <c r="E45" s="130"/>
      <c r="F45" s="130"/>
      <c r="G45" s="130"/>
    </row>
    <row r="46" ht="19.5" spans="3:7">
      <c r="C46" s="131" t="s">
        <v>34</v>
      </c>
      <c r="D46" s="132"/>
      <c r="E46" s="133"/>
      <c r="F46" s="134"/>
      <c r="G46" s="130"/>
    </row>
    <row r="47" ht="19.5" spans="3:7">
      <c r="C47" s="131"/>
      <c r="D47" s="132"/>
      <c r="E47" s="133"/>
      <c r="F47" s="135" t="s">
        <v>35</v>
      </c>
      <c r="G47" s="136">
        <v>15000000</v>
      </c>
    </row>
    <row r="48" ht="19.5" spans="3:7">
      <c r="C48" s="131" t="s">
        <v>36</v>
      </c>
      <c r="D48" s="132"/>
      <c r="E48" s="133">
        <v>75313059305.5</v>
      </c>
      <c r="F48" s="137" t="s">
        <v>37</v>
      </c>
      <c r="G48" s="138"/>
    </row>
    <row r="49" ht="19.5" spans="3:7">
      <c r="C49" s="139">
        <v>0.01</v>
      </c>
      <c r="D49" s="132"/>
      <c r="E49" s="133">
        <f>E48*C49</f>
        <v>753130593.055</v>
      </c>
      <c r="F49" s="137" t="s">
        <v>38</v>
      </c>
      <c r="G49" s="140"/>
    </row>
    <row r="50" ht="19.5" spans="3:7">
      <c r="C50" s="130"/>
      <c r="D50" s="130"/>
      <c r="E50" s="130"/>
      <c r="F50" s="130"/>
      <c r="G50" s="130"/>
    </row>
    <row r="51" ht="19.5" spans="3:7">
      <c r="C51" s="130"/>
      <c r="D51" s="130"/>
      <c r="E51" s="130"/>
      <c r="F51" s="130"/>
      <c r="G51" s="130"/>
    </row>
  </sheetData>
  <mergeCells count="25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9:E29"/>
    <mergeCell ref="D31:E31"/>
    <mergeCell ref="D32:E32"/>
    <mergeCell ref="D33:E33"/>
    <mergeCell ref="D35:E35"/>
    <mergeCell ref="D36:E36"/>
    <mergeCell ref="C39:E39"/>
    <mergeCell ref="F43:G43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4"/>
  <sheetViews>
    <sheetView view="pageBreakPreview" zoomScale="85" zoomScaleNormal="85" topLeftCell="A23" workbookViewId="0">
      <selection activeCell="L39" sqref="L3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242</v>
      </c>
      <c r="F4" s="6" t="s">
        <v>3</v>
      </c>
      <c r="G4" s="9">
        <f>+E52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241142182.75</v>
      </c>
      <c r="H5" s="10"/>
    </row>
    <row r="6" ht="22.5" spans="2:8">
      <c r="B6" s="5"/>
      <c r="C6" s="11" t="s">
        <v>7</v>
      </c>
      <c r="D6" s="12" t="s">
        <v>1</v>
      </c>
      <c r="E6" s="15" t="s">
        <v>243</v>
      </c>
      <c r="F6" s="11" t="s">
        <v>9</v>
      </c>
      <c r="G6" s="14">
        <f>G4-G5</f>
        <v>511988410.305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0.679813587479124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244</v>
      </c>
      <c r="D26" s="48" t="s">
        <v>245</v>
      </c>
      <c r="E26" s="49"/>
      <c r="F26" s="50">
        <f>+LK.27!F36</f>
        <v>6419300</v>
      </c>
      <c r="G26" s="58"/>
      <c r="H26" s="10"/>
    </row>
    <row r="27" ht="21" spans="2:12">
      <c r="B27" s="5"/>
      <c r="C27" s="51"/>
      <c r="D27" s="150" t="s">
        <v>246</v>
      </c>
      <c r="E27" s="53"/>
      <c r="F27" s="54"/>
      <c r="G27" s="60"/>
      <c r="H27" s="10"/>
      <c r="L27" s="1">
        <f>4625500+3866346.75</f>
        <v>8491846.75</v>
      </c>
    </row>
    <row r="28" ht="5.4" customHeight="1" spans="2:8">
      <c r="B28" s="5"/>
      <c r="C28" s="61"/>
      <c r="D28" s="62"/>
      <c r="E28" s="62"/>
      <c r="F28" s="63"/>
      <c r="G28" s="64"/>
      <c r="H28" s="10"/>
    </row>
    <row r="29" ht="22.5" spans="2:8">
      <c r="B29" s="5"/>
      <c r="C29" s="65"/>
      <c r="D29" s="66"/>
      <c r="E29" s="67" t="s">
        <v>18</v>
      </c>
      <c r="F29" s="68">
        <f>SUM(F12:F27)</f>
        <v>232310132.75</v>
      </c>
      <c r="G29" s="69">
        <f>G4-F29</f>
        <v>520820460.305</v>
      </c>
      <c r="H29" s="10"/>
    </row>
    <row r="30" ht="5.4" customHeight="1" spans="2:8">
      <c r="B30" s="5"/>
      <c r="C30" s="70"/>
      <c r="D30" s="71"/>
      <c r="E30" s="72"/>
      <c r="F30" s="73"/>
      <c r="G30" s="74"/>
      <c r="H30" s="10"/>
    </row>
    <row r="31" ht="22.5" spans="2:8">
      <c r="B31" s="5"/>
      <c r="C31" s="75"/>
      <c r="D31" s="28" t="s">
        <v>132</v>
      </c>
      <c r="E31" s="76"/>
      <c r="F31" s="77">
        <v>0</v>
      </c>
      <c r="G31" s="78"/>
      <c r="H31" s="10"/>
    </row>
    <row r="32" ht="6" customHeight="1" spans="2:8">
      <c r="B32" s="5"/>
      <c r="C32" s="75"/>
      <c r="D32" s="28"/>
      <c r="E32" s="76"/>
      <c r="F32" s="77"/>
      <c r="G32" s="78"/>
      <c r="H32" s="10"/>
    </row>
    <row r="33" ht="21" spans="2:8">
      <c r="B33" s="5"/>
      <c r="C33" s="79" t="s">
        <v>20</v>
      </c>
      <c r="D33" s="80" t="s">
        <v>133</v>
      </c>
      <c r="E33" s="81"/>
      <c r="F33" s="82" t="s">
        <v>134</v>
      </c>
      <c r="G33" s="83" t="s">
        <v>135</v>
      </c>
      <c r="H33" s="10"/>
    </row>
    <row r="34" ht="21" spans="2:12">
      <c r="B34" s="5"/>
      <c r="C34" s="79"/>
      <c r="D34" s="152" t="s">
        <v>239</v>
      </c>
      <c r="E34" s="85"/>
      <c r="F34" s="86">
        <v>0</v>
      </c>
      <c r="G34" s="87">
        <v>0</v>
      </c>
      <c r="H34" s="10"/>
      <c r="L34" s="1">
        <f>192500000+13000000</f>
        <v>205500000</v>
      </c>
    </row>
    <row r="35" ht="21" spans="2:8">
      <c r="B35" s="5"/>
      <c r="C35" s="93" t="s">
        <v>223</v>
      </c>
      <c r="D35" s="91" t="s">
        <v>247</v>
      </c>
      <c r="E35" s="92"/>
      <c r="F35" s="87">
        <f>18000000-L43</f>
        <v>3064367.25</v>
      </c>
      <c r="G35" s="87">
        <v>0</v>
      </c>
      <c r="H35" s="10"/>
    </row>
    <row r="36" ht="21" spans="2:12">
      <c r="B36" s="5"/>
      <c r="C36" s="93" t="s">
        <v>248</v>
      </c>
      <c r="D36" s="91" t="s">
        <v>249</v>
      </c>
      <c r="E36" s="92"/>
      <c r="F36" s="87">
        <v>5767682.75</v>
      </c>
      <c r="G36" s="87">
        <f>13000000-F36</f>
        <v>7232317.25</v>
      </c>
      <c r="H36" s="10"/>
      <c r="L36" s="142">
        <v>7133653.25</v>
      </c>
    </row>
    <row r="37" ht="7.8" customHeight="1" spans="2:12">
      <c r="B37" s="5"/>
      <c r="C37" s="93"/>
      <c r="D37" s="94"/>
      <c r="E37" s="95"/>
      <c r="F37" s="96"/>
      <c r="G37" s="97"/>
      <c r="H37" s="10"/>
      <c r="L37" s="142"/>
    </row>
    <row r="38" ht="19.2" customHeight="1" spans="2:12">
      <c r="B38" s="5"/>
      <c r="C38" s="79" t="s">
        <v>20</v>
      </c>
      <c r="D38" s="98" t="s">
        <v>141</v>
      </c>
      <c r="E38" s="81"/>
      <c r="F38" s="82"/>
      <c r="G38" s="99"/>
      <c r="H38" s="10"/>
      <c r="L38" s="142">
        <v>14509106.75</v>
      </c>
    </row>
    <row r="39" ht="22.5" spans="2:12">
      <c r="B39" s="5"/>
      <c r="C39" s="93">
        <v>44934</v>
      </c>
      <c r="D39" s="151" t="s">
        <v>250</v>
      </c>
      <c r="E39" s="101"/>
      <c r="F39" s="102">
        <v>8832050</v>
      </c>
      <c r="G39" s="103"/>
      <c r="H39" s="10"/>
      <c r="L39" s="142">
        <v>14509106.75</v>
      </c>
    </row>
    <row r="40" ht="22.5" spans="2:12">
      <c r="B40" s="5"/>
      <c r="C40" s="104"/>
      <c r="D40" s="105"/>
      <c r="E40" s="106" t="s">
        <v>25</v>
      </c>
      <c r="F40" s="107">
        <f>F39-SUM(F34:F36)</f>
        <v>0</v>
      </c>
      <c r="G40" s="108"/>
      <c r="H40" s="10"/>
      <c r="L40" s="141">
        <f>F36+G36+3866346.75</f>
        <v>16866346.75</v>
      </c>
    </row>
    <row r="41" ht="10.2" customHeight="1" spans="2:8">
      <c r="B41" s="5"/>
      <c r="C41" s="109"/>
      <c r="D41" s="66"/>
      <c r="E41" s="66"/>
      <c r="F41" s="66"/>
      <c r="G41" s="110"/>
      <c r="H41" s="10"/>
    </row>
    <row r="42" ht="21.75" spans="2:12">
      <c r="B42" s="5"/>
      <c r="C42" s="111" t="s">
        <v>26</v>
      </c>
      <c r="D42" s="112"/>
      <c r="E42" s="112"/>
      <c r="F42" s="113">
        <f>F29+F39</f>
        <v>241142182.75</v>
      </c>
      <c r="G42" s="114">
        <f>G4-F42</f>
        <v>511988410.305</v>
      </c>
      <c r="H42" s="10"/>
      <c r="L42" s="143">
        <v>3064367.25</v>
      </c>
    </row>
    <row r="43" ht="21" spans="2:12">
      <c r="B43" s="5"/>
      <c r="C43" s="115" t="s">
        <v>27</v>
      </c>
      <c r="D43" s="116"/>
      <c r="E43" s="34"/>
      <c r="F43" s="117"/>
      <c r="G43" s="56"/>
      <c r="H43" s="10"/>
      <c r="L43" s="1">
        <f>5324450+3191882.75+6419300</f>
        <v>14935632.75</v>
      </c>
    </row>
    <row r="44" ht="22.5" spans="2:8">
      <c r="B44" s="5"/>
      <c r="C44" s="118" t="s">
        <v>28</v>
      </c>
      <c r="D44" s="119" t="s">
        <v>1</v>
      </c>
      <c r="E44" s="120">
        <f>F40</f>
        <v>0</v>
      </c>
      <c r="F44" s="117"/>
      <c r="G44" s="56"/>
      <c r="H44" s="10"/>
    </row>
    <row r="45" ht="21" spans="2:8">
      <c r="B45" s="5"/>
      <c r="C45" s="118" t="s">
        <v>29</v>
      </c>
      <c r="D45" s="119" t="s">
        <v>1</v>
      </c>
      <c r="E45" s="121" t="s">
        <v>30</v>
      </c>
      <c r="F45" s="117"/>
      <c r="G45" s="56"/>
      <c r="H45" s="10"/>
    </row>
    <row r="46" ht="21" spans="2:8">
      <c r="B46" s="5"/>
      <c r="C46" s="122" t="s">
        <v>31</v>
      </c>
      <c r="D46" s="123" t="s">
        <v>1</v>
      </c>
      <c r="E46" s="124" t="s">
        <v>32</v>
      </c>
      <c r="F46" s="125" t="s">
        <v>50</v>
      </c>
      <c r="G46" s="126"/>
      <c r="H46" s="10"/>
    </row>
    <row r="47" ht="6" customHeight="1" spans="2:8">
      <c r="B47" s="127"/>
      <c r="C47" s="128"/>
      <c r="D47" s="128"/>
      <c r="E47" s="128"/>
      <c r="F47" s="128"/>
      <c r="G47" s="128"/>
      <c r="H47" s="129"/>
    </row>
    <row r="48" ht="19.5" spans="3:7">
      <c r="C48" s="130"/>
      <c r="D48" s="130"/>
      <c r="E48" s="130"/>
      <c r="F48" s="130"/>
      <c r="G48" s="130"/>
    </row>
    <row r="49" ht="19.5" spans="3:7">
      <c r="C49" s="131" t="s">
        <v>34</v>
      </c>
      <c r="D49" s="132"/>
      <c r="E49" s="133"/>
      <c r="F49" s="134"/>
      <c r="G49" s="130"/>
    </row>
    <row r="50" ht="19.5" spans="3:7">
      <c r="C50" s="131"/>
      <c r="D50" s="132"/>
      <c r="E50" s="133"/>
      <c r="F50" s="135" t="s">
        <v>35</v>
      </c>
      <c r="G50" s="136">
        <v>15000000</v>
      </c>
    </row>
    <row r="51" ht="19.5" spans="3:7">
      <c r="C51" s="131" t="s">
        <v>36</v>
      </c>
      <c r="D51" s="132"/>
      <c r="E51" s="133">
        <v>75313059305.5</v>
      </c>
      <c r="F51" s="137" t="s">
        <v>37</v>
      </c>
      <c r="G51" s="138"/>
    </row>
    <row r="52" ht="19.5" spans="3:7">
      <c r="C52" s="139">
        <v>0.01</v>
      </c>
      <c r="D52" s="132"/>
      <c r="E52" s="133">
        <f>E51*C52</f>
        <v>753130593.055</v>
      </c>
      <c r="F52" s="137" t="s">
        <v>38</v>
      </c>
      <c r="G52" s="140"/>
    </row>
    <row r="53" ht="19.5" spans="3:7">
      <c r="C53" s="130"/>
      <c r="D53" s="130"/>
      <c r="E53" s="130"/>
      <c r="F53" s="130"/>
      <c r="G53" s="130"/>
    </row>
    <row r="54" ht="19.5" spans="3:7">
      <c r="C54" s="130"/>
      <c r="D54" s="130"/>
      <c r="E54" s="130"/>
      <c r="F54" s="130"/>
      <c r="G54" s="130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6:E36"/>
    <mergeCell ref="D38:E38"/>
    <mergeCell ref="D39:E39"/>
    <mergeCell ref="C42:E42"/>
    <mergeCell ref="F46:G4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3"/>
  <sheetViews>
    <sheetView view="pageBreakPreview" zoomScale="85" zoomScaleNormal="85" topLeftCell="A16" workbookViewId="0">
      <selection activeCell="K43" sqref="K4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251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246385182.75</v>
      </c>
      <c r="H5" s="10"/>
    </row>
    <row r="6" ht="22.5" spans="2:8">
      <c r="B6" s="5"/>
      <c r="C6" s="11" t="s">
        <v>7</v>
      </c>
      <c r="D6" s="12" t="s">
        <v>1</v>
      </c>
      <c r="E6" s="15" t="s">
        <v>252</v>
      </c>
      <c r="F6" s="11" t="s">
        <v>9</v>
      </c>
      <c r="G6" s="14">
        <f>G4-G5</f>
        <v>506745410.305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0.672851979428212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253</v>
      </c>
      <c r="D26" s="48" t="s">
        <v>254</v>
      </c>
      <c r="E26" s="49"/>
      <c r="F26" s="50">
        <f>+LK.27!F36+LK.28!F39</f>
        <v>15251350</v>
      </c>
      <c r="G26" s="58"/>
      <c r="H26" s="10"/>
    </row>
    <row r="27" ht="21" spans="2:12">
      <c r="B27" s="5"/>
      <c r="C27" s="51"/>
      <c r="D27" s="150" t="s">
        <v>255</v>
      </c>
      <c r="E27" s="53"/>
      <c r="F27" s="54"/>
      <c r="G27" s="60"/>
      <c r="H27" s="10"/>
      <c r="L27" s="1">
        <f>4625500+3866346.75</f>
        <v>8491846.75</v>
      </c>
    </row>
    <row r="28" ht="5.4" customHeight="1" spans="2:8">
      <c r="B28" s="5"/>
      <c r="C28" s="61"/>
      <c r="D28" s="62"/>
      <c r="E28" s="62"/>
      <c r="F28" s="63"/>
      <c r="G28" s="64"/>
      <c r="H28" s="10"/>
    </row>
    <row r="29" ht="22.5" spans="2:8">
      <c r="B29" s="5"/>
      <c r="C29" s="65"/>
      <c r="D29" s="66"/>
      <c r="E29" s="67" t="s">
        <v>18</v>
      </c>
      <c r="F29" s="68">
        <f>SUM(F12:F27)</f>
        <v>241142182.75</v>
      </c>
      <c r="G29" s="69">
        <f>G4-F29</f>
        <v>511988410.305</v>
      </c>
      <c r="H29" s="10"/>
    </row>
    <row r="30" ht="5.4" customHeight="1" spans="2:8">
      <c r="B30" s="5"/>
      <c r="C30" s="70"/>
      <c r="D30" s="71"/>
      <c r="E30" s="72"/>
      <c r="F30" s="73"/>
      <c r="G30" s="74"/>
      <c r="H30" s="10"/>
    </row>
    <row r="31" ht="22.5" spans="2:8">
      <c r="B31" s="5"/>
      <c r="C31" s="75"/>
      <c r="D31" s="28" t="s">
        <v>132</v>
      </c>
      <c r="E31" s="76"/>
      <c r="F31" s="77">
        <v>0</v>
      </c>
      <c r="G31" s="78"/>
      <c r="H31" s="10"/>
    </row>
    <row r="32" ht="6" customHeight="1" spans="2:8">
      <c r="B32" s="5"/>
      <c r="C32" s="75"/>
      <c r="D32" s="28"/>
      <c r="E32" s="76"/>
      <c r="F32" s="77"/>
      <c r="G32" s="78"/>
      <c r="H32" s="10"/>
    </row>
    <row r="33" ht="21" spans="2:8">
      <c r="B33" s="5"/>
      <c r="C33" s="79" t="s">
        <v>20</v>
      </c>
      <c r="D33" s="80" t="s">
        <v>133</v>
      </c>
      <c r="E33" s="81"/>
      <c r="F33" s="82" t="s">
        <v>134</v>
      </c>
      <c r="G33" s="83" t="s">
        <v>135</v>
      </c>
      <c r="H33" s="10"/>
    </row>
    <row r="34" ht="21" spans="2:12">
      <c r="B34" s="5"/>
      <c r="C34" s="79"/>
      <c r="D34" s="152" t="s">
        <v>256</v>
      </c>
      <c r="E34" s="85"/>
      <c r="F34" s="86">
        <v>0</v>
      </c>
      <c r="G34" s="87">
        <v>0</v>
      </c>
      <c r="H34" s="10"/>
      <c r="L34" s="1">
        <f>192500000+13000000</f>
        <v>205500000</v>
      </c>
    </row>
    <row r="35" ht="21" spans="2:12">
      <c r="B35" s="5"/>
      <c r="C35" s="93" t="s">
        <v>248</v>
      </c>
      <c r="D35" s="91" t="s">
        <v>257</v>
      </c>
      <c r="E35" s="92"/>
      <c r="F35" s="87">
        <v>5243000</v>
      </c>
      <c r="G35" s="87">
        <f>13000000-5767682.75-F35</f>
        <v>1989317.25</v>
      </c>
      <c r="H35" s="10"/>
      <c r="L35" s="142">
        <v>7133653.25</v>
      </c>
    </row>
    <row r="36" ht="7.8" customHeight="1" spans="2:12">
      <c r="B36" s="5"/>
      <c r="C36" s="93"/>
      <c r="D36" s="94"/>
      <c r="E36" s="95"/>
      <c r="F36" s="96"/>
      <c r="G36" s="97"/>
      <c r="H36" s="10"/>
      <c r="L36" s="142"/>
    </row>
    <row r="37" ht="19.2" customHeight="1" spans="2:12">
      <c r="B37" s="5"/>
      <c r="C37" s="79" t="s">
        <v>20</v>
      </c>
      <c r="D37" s="98" t="s">
        <v>141</v>
      </c>
      <c r="E37" s="81"/>
      <c r="F37" s="82"/>
      <c r="G37" s="99"/>
      <c r="H37" s="10"/>
      <c r="L37" s="142">
        <v>14509106.75</v>
      </c>
    </row>
    <row r="38" ht="22.5" spans="2:12">
      <c r="B38" s="5"/>
      <c r="C38" s="93">
        <v>44934</v>
      </c>
      <c r="D38" s="151" t="s">
        <v>258</v>
      </c>
      <c r="E38" s="101"/>
      <c r="F38" s="102">
        <v>5243000</v>
      </c>
      <c r="G38" s="103"/>
      <c r="H38" s="10"/>
      <c r="L38" s="142">
        <v>14509106.75</v>
      </c>
    </row>
    <row r="39" ht="22.5" spans="2:12">
      <c r="B39" s="5"/>
      <c r="C39" s="104"/>
      <c r="D39" s="105"/>
      <c r="E39" s="106" t="s">
        <v>25</v>
      </c>
      <c r="F39" s="107">
        <f>F38-SUM(F34:F35)</f>
        <v>0</v>
      </c>
      <c r="G39" s="108"/>
      <c r="H39" s="10"/>
      <c r="L39" s="141">
        <f>F35+G35+3866346.75</f>
        <v>11098664</v>
      </c>
    </row>
    <row r="40" ht="10.2" customHeight="1" spans="2:8">
      <c r="B40" s="5"/>
      <c r="C40" s="109"/>
      <c r="D40" s="66"/>
      <c r="E40" s="66"/>
      <c r="F40" s="66"/>
      <c r="G40" s="110"/>
      <c r="H40" s="10"/>
    </row>
    <row r="41" ht="21.75" spans="2:12">
      <c r="B41" s="5"/>
      <c r="C41" s="111" t="s">
        <v>26</v>
      </c>
      <c r="D41" s="112"/>
      <c r="E41" s="112"/>
      <c r="F41" s="113">
        <f>F29+F38</f>
        <v>246385182.75</v>
      </c>
      <c r="G41" s="114">
        <f>G4-F41</f>
        <v>506745410.305</v>
      </c>
      <c r="H41" s="10"/>
      <c r="L41" s="143">
        <v>3064367.25</v>
      </c>
    </row>
    <row r="42" ht="21" spans="2:12">
      <c r="B42" s="5"/>
      <c r="C42" s="115" t="s">
        <v>27</v>
      </c>
      <c r="D42" s="116"/>
      <c r="E42" s="34"/>
      <c r="F42" s="117"/>
      <c r="G42" s="56"/>
      <c r="H42" s="10"/>
      <c r="L42" s="1">
        <f>5324450+3191882.75+6419300</f>
        <v>14935632.75</v>
      </c>
    </row>
    <row r="43" ht="22.5" spans="2:8">
      <c r="B43" s="5"/>
      <c r="C43" s="118" t="s">
        <v>28</v>
      </c>
      <c r="D43" s="119" t="s">
        <v>1</v>
      </c>
      <c r="E43" s="120">
        <f>F39</f>
        <v>0</v>
      </c>
      <c r="F43" s="117"/>
      <c r="G43" s="56"/>
      <c r="H43" s="10"/>
    </row>
    <row r="44" ht="21" spans="2:8">
      <c r="B44" s="5"/>
      <c r="C44" s="118" t="s">
        <v>29</v>
      </c>
      <c r="D44" s="119" t="s">
        <v>1</v>
      </c>
      <c r="E44" s="121" t="s">
        <v>30</v>
      </c>
      <c r="F44" s="117"/>
      <c r="G44" s="56"/>
      <c r="H44" s="10"/>
    </row>
    <row r="45" ht="21" spans="2:8">
      <c r="B45" s="5"/>
      <c r="C45" s="122" t="s">
        <v>31</v>
      </c>
      <c r="D45" s="123" t="s">
        <v>1</v>
      </c>
      <c r="E45" s="124" t="s">
        <v>32</v>
      </c>
      <c r="F45" s="125" t="s">
        <v>50</v>
      </c>
      <c r="G45" s="126"/>
      <c r="H45" s="10"/>
    </row>
    <row r="46" ht="6" customHeight="1" spans="2:8">
      <c r="B46" s="127"/>
      <c r="C46" s="128"/>
      <c r="D46" s="128"/>
      <c r="E46" s="128"/>
      <c r="F46" s="128"/>
      <c r="G46" s="128"/>
      <c r="H46" s="129"/>
    </row>
    <row r="47" ht="19.5" spans="3:7">
      <c r="C47" s="130"/>
      <c r="D47" s="130"/>
      <c r="E47" s="130"/>
      <c r="F47" s="130"/>
      <c r="G47" s="130"/>
    </row>
    <row r="48" ht="19.5" spans="3:7">
      <c r="C48" s="131" t="s">
        <v>34</v>
      </c>
      <c r="D48" s="132"/>
      <c r="E48" s="133"/>
      <c r="F48" s="134"/>
      <c r="G48" s="130"/>
    </row>
    <row r="49" ht="19.5" spans="3:7">
      <c r="C49" s="131"/>
      <c r="D49" s="132"/>
      <c r="E49" s="133"/>
      <c r="F49" s="135" t="s">
        <v>35</v>
      </c>
      <c r="G49" s="136">
        <v>15000000</v>
      </c>
    </row>
    <row r="50" ht="19.5" spans="3:7">
      <c r="C50" s="131" t="s">
        <v>36</v>
      </c>
      <c r="D50" s="132"/>
      <c r="E50" s="133">
        <v>75313059305.5</v>
      </c>
      <c r="F50" s="137" t="s">
        <v>37</v>
      </c>
      <c r="G50" s="138"/>
    </row>
    <row r="51" ht="19.5" spans="3:7">
      <c r="C51" s="139">
        <v>0.01</v>
      </c>
      <c r="D51" s="132"/>
      <c r="E51" s="133">
        <f>E50*C51</f>
        <v>753130593.055</v>
      </c>
      <c r="F51" s="137" t="s">
        <v>38</v>
      </c>
      <c r="G51" s="140"/>
    </row>
    <row r="52" ht="19.5" spans="3:7">
      <c r="C52" s="130"/>
      <c r="D52" s="130"/>
      <c r="E52" s="130"/>
      <c r="F52" s="130"/>
      <c r="G52" s="130"/>
    </row>
    <row r="53" ht="19.5" spans="3:7">
      <c r="C53" s="130"/>
      <c r="D53" s="130"/>
      <c r="E53" s="130"/>
      <c r="F53" s="130"/>
      <c r="G53" s="130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7:E37"/>
    <mergeCell ref="D38:E38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3"/>
  <sheetViews>
    <sheetView zoomScale="70" zoomScaleNormal="70" topLeftCell="A2" workbookViewId="0">
      <selection activeCell="E24" sqref="E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42</v>
      </c>
      <c r="F4" s="215" t="s">
        <v>3</v>
      </c>
      <c r="G4" s="216"/>
      <c r="H4" s="9">
        <f>+E41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G31</f>
        <v>13255894</v>
      </c>
      <c r="I5" s="10"/>
    </row>
    <row r="6" ht="22.5" spans="2:9">
      <c r="B6" s="5"/>
      <c r="C6" s="11" t="s">
        <v>7</v>
      </c>
      <c r="D6" s="12" t="s">
        <v>1</v>
      </c>
      <c r="E6" s="15" t="s">
        <v>43</v>
      </c>
      <c r="F6" s="217" t="s">
        <v>9</v>
      </c>
      <c r="G6" s="218"/>
      <c r="H6" s="14">
        <f>H4-H5</f>
        <v>739874699.055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0.982398943659653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99">
        <f>+LK.02!G22</f>
        <v>2244000</v>
      </c>
      <c r="H16" s="244"/>
      <c r="I16" s="10"/>
    </row>
    <row r="17" ht="19.5" spans="2:9">
      <c r="B17" s="5"/>
      <c r="C17" s="275"/>
      <c r="D17" s="276"/>
      <c r="E17" s="276"/>
      <c r="F17" s="130"/>
      <c r="H17" s="244"/>
      <c r="I17" s="10"/>
    </row>
    <row r="18" ht="19.5" spans="2:9">
      <c r="B18" s="5"/>
      <c r="C18" s="277"/>
      <c r="D18" s="130"/>
      <c r="E18" s="282" t="s">
        <v>18</v>
      </c>
      <c r="F18" s="283"/>
      <c r="G18" s="284">
        <f>SUM(G15:G16)</f>
        <v>5874500</v>
      </c>
      <c r="H18" s="285">
        <f>H10-G18</f>
        <v>747256093.055</v>
      </c>
      <c r="I18" s="10"/>
    </row>
    <row r="19" ht="19.5" spans="2:9">
      <c r="B19" s="5"/>
      <c r="C19" s="243"/>
      <c r="D19" s="130"/>
      <c r="E19" s="130"/>
      <c r="F19" s="130"/>
      <c r="G19" s="130"/>
      <c r="H19" s="244"/>
      <c r="I19" s="10"/>
    </row>
    <row r="20" ht="19.5" spans="2:9">
      <c r="B20" s="5"/>
      <c r="C20" s="275" t="s">
        <v>19</v>
      </c>
      <c r="D20" s="286"/>
      <c r="E20" s="286"/>
      <c r="F20" s="130"/>
      <c r="G20" s="130"/>
      <c r="H20" s="244"/>
      <c r="I20" s="10"/>
    </row>
    <row r="21" ht="19.5" spans="2:9">
      <c r="B21" s="5"/>
      <c r="C21" s="275" t="s">
        <v>20</v>
      </c>
      <c r="D21" s="286" t="s">
        <v>21</v>
      </c>
      <c r="E21" s="286" t="s">
        <v>22</v>
      </c>
      <c r="F21" s="130"/>
      <c r="G21" s="130"/>
      <c r="H21" s="244"/>
      <c r="I21" s="10"/>
    </row>
    <row r="22" ht="19.5" spans="2:9">
      <c r="B22" s="5"/>
      <c r="C22" s="287">
        <v>44712</v>
      </c>
      <c r="D22" s="276" t="s">
        <v>23</v>
      </c>
      <c r="E22" s="283" t="s">
        <v>42</v>
      </c>
      <c r="F22" s="283"/>
      <c r="G22" s="307">
        <v>7381394</v>
      </c>
      <c r="H22" s="244"/>
      <c r="I22" s="10"/>
    </row>
    <row r="23" ht="19.5" spans="2:9">
      <c r="B23" s="5"/>
      <c r="C23" s="287">
        <v>44673</v>
      </c>
      <c r="D23" s="276"/>
      <c r="E23" s="289" t="s">
        <v>45</v>
      </c>
      <c r="F23" s="291"/>
      <c r="G23" s="291">
        <v>0</v>
      </c>
      <c r="H23" s="244"/>
      <c r="I23" s="10"/>
    </row>
    <row r="24" ht="19.5" spans="2:9">
      <c r="B24" s="5"/>
      <c r="C24" s="287"/>
      <c r="D24" s="276"/>
      <c r="E24" s="306" t="s">
        <v>46</v>
      </c>
      <c r="F24" s="293"/>
      <c r="G24" s="293">
        <v>7381394</v>
      </c>
      <c r="H24" s="244"/>
      <c r="I24" s="10"/>
    </row>
    <row r="25" ht="19.5" spans="2:9">
      <c r="B25" s="5"/>
      <c r="C25" s="287"/>
      <c r="D25" s="276"/>
      <c r="E25" s="294" t="s">
        <v>47</v>
      </c>
      <c r="F25" s="293"/>
      <c r="G25" s="293"/>
      <c r="H25" s="244"/>
      <c r="I25" s="10"/>
    </row>
    <row r="26" ht="19.5" spans="2:9">
      <c r="B26" s="5"/>
      <c r="C26" s="287"/>
      <c r="D26" s="276"/>
      <c r="E26" s="294" t="s">
        <v>48</v>
      </c>
      <c r="F26" s="293"/>
      <c r="G26" s="293"/>
      <c r="H26" s="244"/>
      <c r="I26" s="10"/>
    </row>
    <row r="27" ht="19.5" spans="2:9">
      <c r="B27" s="5"/>
      <c r="C27" s="287"/>
      <c r="D27" s="276"/>
      <c r="E27" s="294" t="s">
        <v>49</v>
      </c>
      <c r="F27" s="293"/>
      <c r="G27" s="293"/>
      <c r="H27" s="244"/>
      <c r="I27" s="10"/>
    </row>
    <row r="28" ht="20.25" spans="2:9">
      <c r="B28" s="5"/>
      <c r="C28" s="243"/>
      <c r="D28" s="130"/>
      <c r="E28" s="130"/>
      <c r="F28" s="130"/>
      <c r="G28" s="295">
        <v>0</v>
      </c>
      <c r="H28" s="244"/>
      <c r="I28" s="10"/>
    </row>
    <row r="29" ht="20.25" spans="2:9">
      <c r="B29" s="5"/>
      <c r="C29" s="243"/>
      <c r="D29" s="130"/>
      <c r="E29" s="296" t="s">
        <v>25</v>
      </c>
      <c r="F29" s="130"/>
      <c r="G29" s="308">
        <f>G22-SUM(G23:G28)</f>
        <v>0</v>
      </c>
      <c r="H29" s="244"/>
      <c r="I29" s="10"/>
    </row>
    <row r="30" ht="20.25" spans="2:9">
      <c r="B30" s="5"/>
      <c r="C30" s="109"/>
      <c r="D30" s="66"/>
      <c r="E30" s="66"/>
      <c r="F30" s="66"/>
      <c r="G30" s="66"/>
      <c r="H30" s="110"/>
      <c r="I30" s="10"/>
    </row>
    <row r="31" ht="20.25" spans="2:9">
      <c r="B31" s="5"/>
      <c r="C31" s="258" t="s">
        <v>26</v>
      </c>
      <c r="D31" s="259"/>
      <c r="E31" s="259"/>
      <c r="F31" s="71"/>
      <c r="G31" s="260">
        <f>G18+G22</f>
        <v>13255894</v>
      </c>
      <c r="H31" s="261">
        <f>H10-G31</f>
        <v>739874699.055</v>
      </c>
      <c r="I31" s="10"/>
    </row>
    <row r="32" ht="19.5" spans="2:9">
      <c r="B32" s="5"/>
      <c r="C32" s="262" t="s">
        <v>27</v>
      </c>
      <c r="D32" s="263"/>
      <c r="E32" s="264"/>
      <c r="F32" s="130"/>
      <c r="G32" s="130"/>
      <c r="H32" s="244"/>
      <c r="I32" s="10"/>
    </row>
    <row r="33" ht="19.5" spans="2:9">
      <c r="B33" s="5"/>
      <c r="C33" s="265" t="s">
        <v>28</v>
      </c>
      <c r="D33" s="266" t="s">
        <v>1</v>
      </c>
      <c r="E33" s="298">
        <f>G29</f>
        <v>0</v>
      </c>
      <c r="F33" s="130"/>
      <c r="G33" s="130"/>
      <c r="H33" s="244"/>
      <c r="I33" s="10"/>
    </row>
    <row r="34" ht="19.5" spans="2:9">
      <c r="B34" s="5"/>
      <c r="C34" s="265" t="s">
        <v>29</v>
      </c>
      <c r="D34" s="266" t="s">
        <v>1</v>
      </c>
      <c r="E34" s="267" t="s">
        <v>30</v>
      </c>
      <c r="F34" s="130"/>
      <c r="G34" s="130"/>
      <c r="H34" s="244"/>
      <c r="I34" s="10"/>
    </row>
    <row r="35" ht="19.5" spans="2:9">
      <c r="B35" s="5"/>
      <c r="C35" s="268" t="s">
        <v>31</v>
      </c>
      <c r="D35" s="269" t="s">
        <v>1</v>
      </c>
      <c r="E35" s="270" t="s">
        <v>32</v>
      </c>
      <c r="F35" s="128"/>
      <c r="G35" s="271" t="s">
        <v>50</v>
      </c>
      <c r="H35" s="272"/>
      <c r="I35" s="10"/>
    </row>
    <row r="36" ht="6" customHeight="1" spans="2:9">
      <c r="B36" s="127"/>
      <c r="C36" s="128"/>
      <c r="D36" s="128"/>
      <c r="E36" s="128"/>
      <c r="F36" s="128"/>
      <c r="G36" s="128"/>
      <c r="H36" s="128"/>
      <c r="I36" s="129"/>
    </row>
    <row r="37" ht="19.5" spans="3:8">
      <c r="C37" s="130"/>
      <c r="D37" s="130"/>
      <c r="E37" s="130"/>
      <c r="F37" s="130"/>
      <c r="G37" s="130"/>
      <c r="H37" s="130"/>
    </row>
    <row r="38" ht="19.5" spans="3:8">
      <c r="C38" s="131" t="s">
        <v>34</v>
      </c>
      <c r="D38" s="132"/>
      <c r="E38" s="133"/>
      <c r="F38" s="134"/>
      <c r="G38" s="134"/>
      <c r="H38" s="130"/>
    </row>
    <row r="39" ht="19.5" spans="3:8">
      <c r="C39" s="131"/>
      <c r="D39" s="132"/>
      <c r="E39" s="133"/>
      <c r="F39" s="135" t="s">
        <v>35</v>
      </c>
      <c r="G39" s="136">
        <v>15000000</v>
      </c>
      <c r="H39" s="130"/>
    </row>
    <row r="40" ht="19.5" spans="3:8">
      <c r="C40" s="131" t="s">
        <v>36</v>
      </c>
      <c r="D40" s="132"/>
      <c r="E40" s="133">
        <v>75313059305.5</v>
      </c>
      <c r="F40" s="137" t="s">
        <v>37</v>
      </c>
      <c r="G40" s="138"/>
      <c r="H40" s="130"/>
    </row>
    <row r="41" ht="19.5" spans="3:8">
      <c r="C41" s="139">
        <v>0.01</v>
      </c>
      <c r="D41" s="132"/>
      <c r="E41" s="133">
        <f>E40*C41</f>
        <v>753130593.055</v>
      </c>
      <c r="F41" s="137" t="s">
        <v>38</v>
      </c>
      <c r="G41" s="140"/>
      <c r="H41" s="130"/>
    </row>
    <row r="42" ht="19.5" spans="3:8">
      <c r="C42" s="130"/>
      <c r="D42" s="130"/>
      <c r="E42" s="130"/>
      <c r="F42" s="130"/>
      <c r="G42" s="130"/>
      <c r="H42" s="130"/>
    </row>
    <row r="43" ht="19.5" spans="3:8">
      <c r="C43" s="130"/>
      <c r="D43" s="130"/>
      <c r="E43" s="130"/>
      <c r="F43" s="130"/>
      <c r="G43" s="130"/>
      <c r="H43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0:E20"/>
    <mergeCell ref="C31:E31"/>
    <mergeCell ref="G35:H35"/>
  </mergeCells>
  <pageMargins left="0.7" right="0.7" top="0.75" bottom="0.75" header="0.3" footer="0.3"/>
  <pageSetup paperSize="9" orientation="portrait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4"/>
  <sheetViews>
    <sheetView view="pageBreakPreview" zoomScale="85" zoomScaleNormal="85" topLeftCell="A18" workbookViewId="0">
      <selection activeCell="L33" sqref="L3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259</v>
      </c>
      <c r="F4" s="6" t="s">
        <v>3</v>
      </c>
      <c r="G4" s="9">
        <f>+E52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F42</f>
        <v>250571382.75</v>
      </c>
      <c r="H5" s="10"/>
    </row>
    <row r="6" ht="22.5" spans="2:8">
      <c r="B6" s="5"/>
      <c r="C6" s="11" t="s">
        <v>7</v>
      </c>
      <c r="D6" s="12" t="s">
        <v>1</v>
      </c>
      <c r="E6" s="15" t="s">
        <v>260</v>
      </c>
      <c r="F6" s="11" t="s">
        <v>9</v>
      </c>
      <c r="G6" s="14">
        <f>G4-G5</f>
        <v>502559210.305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0.667293580873429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261</v>
      </c>
      <c r="D26" s="48" t="s">
        <v>262</v>
      </c>
      <c r="E26" s="49"/>
      <c r="F26" s="50">
        <f>+LK.27!F36+LK.28!F39+LK.29!F38</f>
        <v>20494350</v>
      </c>
      <c r="G26" s="58"/>
      <c r="H26" s="10"/>
    </row>
    <row r="27" ht="21" spans="2:12">
      <c r="B27" s="5"/>
      <c r="C27" s="51"/>
      <c r="D27" s="150" t="s">
        <v>263</v>
      </c>
      <c r="E27" s="53"/>
      <c r="F27" s="54"/>
      <c r="G27" s="60"/>
      <c r="H27" s="10"/>
      <c r="L27" s="1">
        <f>4625500+3866346.75</f>
        <v>8491846.75</v>
      </c>
    </row>
    <row r="28" ht="5.4" customHeight="1" spans="2:8">
      <c r="B28" s="5"/>
      <c r="C28" s="61"/>
      <c r="D28" s="62"/>
      <c r="E28" s="62"/>
      <c r="F28" s="63"/>
      <c r="G28" s="64"/>
      <c r="H28" s="10"/>
    </row>
    <row r="29" ht="22.5" spans="2:8">
      <c r="B29" s="5"/>
      <c r="C29" s="65"/>
      <c r="D29" s="66"/>
      <c r="E29" s="67" t="s">
        <v>18</v>
      </c>
      <c r="F29" s="68">
        <f>SUM(F12:F27)</f>
        <v>246385182.75</v>
      </c>
      <c r="G29" s="69">
        <f>G4-F29</f>
        <v>506745410.305</v>
      </c>
      <c r="H29" s="10"/>
    </row>
    <row r="30" ht="5.4" customHeight="1" spans="2:8">
      <c r="B30" s="5"/>
      <c r="C30" s="70"/>
      <c r="D30" s="71"/>
      <c r="E30" s="72"/>
      <c r="F30" s="73"/>
      <c r="G30" s="74"/>
      <c r="H30" s="10"/>
    </row>
    <row r="31" ht="22.5" spans="2:8">
      <c r="B31" s="5"/>
      <c r="C31" s="75"/>
      <c r="D31" s="28" t="s">
        <v>132</v>
      </c>
      <c r="E31" s="76"/>
      <c r="F31" s="77">
        <v>0</v>
      </c>
      <c r="G31" s="78"/>
      <c r="H31" s="10"/>
    </row>
    <row r="32" ht="6" customHeight="1" spans="2:8">
      <c r="B32" s="5"/>
      <c r="C32" s="75"/>
      <c r="D32" s="28"/>
      <c r="E32" s="76"/>
      <c r="F32" s="77"/>
      <c r="G32" s="78"/>
      <c r="H32" s="10"/>
    </row>
    <row r="33" ht="21" spans="2:12">
      <c r="B33" s="5"/>
      <c r="C33" s="79" t="s">
        <v>20</v>
      </c>
      <c r="D33" s="80" t="s">
        <v>133</v>
      </c>
      <c r="E33" s="81"/>
      <c r="F33" s="82" t="s">
        <v>134</v>
      </c>
      <c r="G33" s="83" t="s">
        <v>135</v>
      </c>
      <c r="H33" s="10"/>
      <c r="L33" s="1">
        <v>2196882.75</v>
      </c>
    </row>
    <row r="34" ht="21" spans="2:12">
      <c r="B34" s="5"/>
      <c r="C34" s="79"/>
      <c r="D34" s="152" t="s">
        <v>256</v>
      </c>
      <c r="E34" s="85"/>
      <c r="F34" s="86">
        <v>0</v>
      </c>
      <c r="G34" s="87">
        <v>0</v>
      </c>
      <c r="H34" s="10"/>
      <c r="L34" s="1">
        <f>192500000+13000000</f>
        <v>205500000</v>
      </c>
    </row>
    <row r="35" ht="21" spans="2:8">
      <c r="B35" s="5"/>
      <c r="C35" s="93" t="s">
        <v>248</v>
      </c>
      <c r="D35" s="91" t="s">
        <v>264</v>
      </c>
      <c r="E35" s="92"/>
      <c r="F35" s="87">
        <v>1989317.25</v>
      </c>
      <c r="G35" s="87">
        <v>0</v>
      </c>
      <c r="H35" s="10"/>
    </row>
    <row r="36" ht="21" spans="2:12">
      <c r="B36" s="5"/>
      <c r="C36" s="93" t="s">
        <v>265</v>
      </c>
      <c r="D36" s="91" t="s">
        <v>266</v>
      </c>
      <c r="E36" s="92"/>
      <c r="F36" s="87">
        <v>2196882.75</v>
      </c>
      <c r="G36" s="87">
        <f>11000000-F36</f>
        <v>8803117.25</v>
      </c>
      <c r="H36" s="10"/>
      <c r="L36" s="142">
        <v>7133653.25</v>
      </c>
    </row>
    <row r="37" ht="7.8" customHeight="1" spans="2:12">
      <c r="B37" s="5"/>
      <c r="C37" s="93"/>
      <c r="D37" s="94"/>
      <c r="E37" s="95"/>
      <c r="F37" s="96"/>
      <c r="G37" s="97"/>
      <c r="H37" s="10"/>
      <c r="L37" s="142"/>
    </row>
    <row r="38" ht="19.2" customHeight="1" spans="2:12">
      <c r="B38" s="5"/>
      <c r="C38" s="79" t="s">
        <v>20</v>
      </c>
      <c r="D38" s="98" t="s">
        <v>141</v>
      </c>
      <c r="E38" s="81"/>
      <c r="F38" s="82"/>
      <c r="G38" s="99"/>
      <c r="H38" s="10"/>
      <c r="L38" s="142">
        <v>14509106.75</v>
      </c>
    </row>
    <row r="39" ht="22.5" spans="2:12">
      <c r="B39" s="5"/>
      <c r="C39" s="93">
        <v>45054</v>
      </c>
      <c r="D39" s="151" t="s">
        <v>267</v>
      </c>
      <c r="E39" s="101"/>
      <c r="F39" s="102">
        <v>4186200</v>
      </c>
      <c r="G39" s="103"/>
      <c r="H39" s="10"/>
      <c r="L39" s="142">
        <v>14509106.75</v>
      </c>
    </row>
    <row r="40" ht="22.5" spans="2:12">
      <c r="B40" s="5"/>
      <c r="C40" s="104"/>
      <c r="D40" s="105"/>
      <c r="E40" s="106" t="s">
        <v>25</v>
      </c>
      <c r="F40" s="107">
        <f>F39-SUM(F34:F36)</f>
        <v>0</v>
      </c>
      <c r="G40" s="108"/>
      <c r="H40" s="10"/>
      <c r="L40" s="141">
        <f>F36+G36+3866346.75</f>
        <v>14866346.75</v>
      </c>
    </row>
    <row r="41" ht="10.2" customHeight="1" spans="2:8">
      <c r="B41" s="5"/>
      <c r="C41" s="109"/>
      <c r="D41" s="66"/>
      <c r="E41" s="66"/>
      <c r="F41" s="66"/>
      <c r="G41" s="110"/>
      <c r="H41" s="10"/>
    </row>
    <row r="42" ht="21.75" spans="2:12">
      <c r="B42" s="5"/>
      <c r="C42" s="111" t="s">
        <v>26</v>
      </c>
      <c r="D42" s="112"/>
      <c r="E42" s="112"/>
      <c r="F42" s="113">
        <f>F29+F39</f>
        <v>250571382.75</v>
      </c>
      <c r="G42" s="114">
        <f>G4-F42</f>
        <v>502559210.305</v>
      </c>
      <c r="H42" s="10"/>
      <c r="L42" s="143">
        <v>3064367.25</v>
      </c>
    </row>
    <row r="43" ht="21" spans="2:12">
      <c r="B43" s="5"/>
      <c r="C43" s="115" t="s">
        <v>27</v>
      </c>
      <c r="D43" s="116"/>
      <c r="E43" s="34"/>
      <c r="F43" s="117"/>
      <c r="G43" s="56"/>
      <c r="H43" s="10"/>
      <c r="L43" s="1">
        <f>5324450+3191882.75+6419300</f>
        <v>14935632.75</v>
      </c>
    </row>
    <row r="44" ht="22.5" spans="2:8">
      <c r="B44" s="5"/>
      <c r="C44" s="118" t="s">
        <v>28</v>
      </c>
      <c r="D44" s="119" t="s">
        <v>1</v>
      </c>
      <c r="E44" s="120">
        <f>F40</f>
        <v>0</v>
      </c>
      <c r="F44" s="117"/>
      <c r="G44" s="56"/>
      <c r="H44" s="10"/>
    </row>
    <row r="45" ht="21" spans="2:8">
      <c r="B45" s="5"/>
      <c r="C45" s="118" t="s">
        <v>29</v>
      </c>
      <c r="D45" s="119" t="s">
        <v>1</v>
      </c>
      <c r="E45" s="121" t="s">
        <v>30</v>
      </c>
      <c r="F45" s="117"/>
      <c r="G45" s="56"/>
      <c r="H45" s="10"/>
    </row>
    <row r="46" ht="21" spans="2:8">
      <c r="B46" s="5"/>
      <c r="C46" s="122" t="s">
        <v>31</v>
      </c>
      <c r="D46" s="123" t="s">
        <v>1</v>
      </c>
      <c r="E46" s="124" t="s">
        <v>32</v>
      </c>
      <c r="F46" s="125" t="s">
        <v>50</v>
      </c>
      <c r="G46" s="126"/>
      <c r="H46" s="10"/>
    </row>
    <row r="47" ht="6" customHeight="1" spans="2:8">
      <c r="B47" s="127"/>
      <c r="C47" s="128"/>
      <c r="D47" s="128"/>
      <c r="E47" s="128"/>
      <c r="F47" s="128"/>
      <c r="G47" s="128"/>
      <c r="H47" s="129"/>
    </row>
    <row r="48" ht="19.5" spans="3:7">
      <c r="C48" s="130"/>
      <c r="D48" s="130"/>
      <c r="E48" s="130"/>
      <c r="F48" s="130"/>
      <c r="G48" s="130"/>
    </row>
    <row r="49" ht="19.5" spans="3:7">
      <c r="C49" s="131" t="s">
        <v>34</v>
      </c>
      <c r="D49" s="132"/>
      <c r="E49" s="133"/>
      <c r="F49" s="134"/>
      <c r="G49" s="130"/>
    </row>
    <row r="50" ht="19.5" spans="3:7">
      <c r="C50" s="131"/>
      <c r="D50" s="132"/>
      <c r="E50" s="133"/>
      <c r="F50" s="135" t="s">
        <v>35</v>
      </c>
      <c r="G50" s="136">
        <v>15000000</v>
      </c>
    </row>
    <row r="51" ht="19.5" spans="3:7">
      <c r="C51" s="131" t="s">
        <v>36</v>
      </c>
      <c r="D51" s="132"/>
      <c r="E51" s="133">
        <v>75313059305.5</v>
      </c>
      <c r="F51" s="137" t="s">
        <v>37</v>
      </c>
      <c r="G51" s="138"/>
    </row>
    <row r="52" ht="19.5" spans="3:7">
      <c r="C52" s="139">
        <v>0.01</v>
      </c>
      <c r="D52" s="132"/>
      <c r="E52" s="133">
        <f>E51*C52</f>
        <v>753130593.055</v>
      </c>
      <c r="F52" s="137" t="s">
        <v>38</v>
      </c>
      <c r="G52" s="140"/>
    </row>
    <row r="53" ht="19.5" spans="3:7">
      <c r="C53" s="130"/>
      <c r="D53" s="130"/>
      <c r="E53" s="130"/>
      <c r="F53" s="130"/>
      <c r="G53" s="130"/>
    </row>
    <row r="54" ht="19.5" spans="3:7">
      <c r="C54" s="130"/>
      <c r="D54" s="130"/>
      <c r="E54" s="130"/>
      <c r="F54" s="130"/>
      <c r="G54" s="130"/>
    </row>
  </sheetData>
  <mergeCells count="2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6:E36"/>
    <mergeCell ref="D38:E38"/>
    <mergeCell ref="D39:E39"/>
    <mergeCell ref="C42:E42"/>
    <mergeCell ref="F46:G4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3"/>
  <sheetViews>
    <sheetView view="pageBreakPreview" zoomScale="85" zoomScaleNormal="85" topLeftCell="A15" workbookViewId="0">
      <selection activeCell="F27" sqref="F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268</v>
      </c>
      <c r="F4" s="6" t="s">
        <v>3</v>
      </c>
      <c r="G4" s="9">
        <f>+E51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F41</f>
        <v>258615382.75</v>
      </c>
      <c r="H5" s="10"/>
    </row>
    <row r="6" ht="22.5" spans="2:8">
      <c r="B6" s="5"/>
      <c r="C6" s="11" t="s">
        <v>7</v>
      </c>
      <c r="D6" s="12" t="s">
        <v>1</v>
      </c>
      <c r="E6" s="15" t="s">
        <v>269</v>
      </c>
      <c r="F6" s="11" t="s">
        <v>9</v>
      </c>
      <c r="G6" s="14">
        <f>G4-G5</f>
        <v>494515210.305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0.65661283031811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8"/>
      <c r="H26" s="10"/>
    </row>
    <row r="27" ht="21" spans="2:12">
      <c r="B27" s="5"/>
      <c r="C27" s="51"/>
      <c r="D27" s="150" t="s">
        <v>272</v>
      </c>
      <c r="E27" s="53"/>
      <c r="F27" s="54"/>
      <c r="G27" s="60"/>
      <c r="H27" s="10"/>
      <c r="L27" s="1">
        <f>4625500+3866346.75</f>
        <v>8491846.75</v>
      </c>
    </row>
    <row r="28" ht="5.4" customHeight="1" spans="2:8">
      <c r="B28" s="5"/>
      <c r="C28" s="61"/>
      <c r="D28" s="62"/>
      <c r="E28" s="62"/>
      <c r="F28" s="63"/>
      <c r="G28" s="64"/>
      <c r="H28" s="10"/>
    </row>
    <row r="29" ht="22.5" spans="2:8">
      <c r="B29" s="5"/>
      <c r="C29" s="65"/>
      <c r="D29" s="66"/>
      <c r="E29" s="67" t="s">
        <v>18</v>
      </c>
      <c r="F29" s="68">
        <f>SUM(F12:F27)</f>
        <v>250571382.75</v>
      </c>
      <c r="G29" s="69">
        <f>G4-F29</f>
        <v>502559210.305</v>
      </c>
      <c r="H29" s="10"/>
    </row>
    <row r="30" ht="5.4" customHeight="1" spans="2:8">
      <c r="B30" s="5"/>
      <c r="C30" s="70"/>
      <c r="D30" s="71"/>
      <c r="E30" s="72"/>
      <c r="F30" s="73"/>
      <c r="G30" s="74"/>
      <c r="H30" s="10"/>
    </row>
    <row r="31" ht="22.5" spans="2:8">
      <c r="B31" s="5"/>
      <c r="C31" s="75"/>
      <c r="D31" s="28" t="s">
        <v>132</v>
      </c>
      <c r="E31" s="76"/>
      <c r="F31" s="77">
        <v>0</v>
      </c>
      <c r="G31" s="78"/>
      <c r="H31" s="10"/>
    </row>
    <row r="32" ht="6" customHeight="1" spans="2:8">
      <c r="B32" s="5"/>
      <c r="C32" s="75"/>
      <c r="D32" s="28"/>
      <c r="E32" s="76"/>
      <c r="F32" s="77"/>
      <c r="G32" s="78"/>
      <c r="H32" s="10"/>
    </row>
    <row r="33" ht="21" spans="2:12">
      <c r="B33" s="5"/>
      <c r="C33" s="79" t="s">
        <v>20</v>
      </c>
      <c r="D33" s="80" t="s">
        <v>133</v>
      </c>
      <c r="E33" s="81"/>
      <c r="F33" s="82" t="s">
        <v>134</v>
      </c>
      <c r="G33" s="83" t="s">
        <v>135</v>
      </c>
      <c r="H33" s="10"/>
      <c r="L33" s="1">
        <v>759117.25</v>
      </c>
    </row>
    <row r="34" ht="21" spans="2:12">
      <c r="B34" s="5"/>
      <c r="C34" s="79"/>
      <c r="D34" s="152" t="s">
        <v>273</v>
      </c>
      <c r="E34" s="85"/>
      <c r="F34" s="86">
        <v>0</v>
      </c>
      <c r="G34" s="87">
        <v>0</v>
      </c>
      <c r="H34" s="10"/>
      <c r="L34" s="1">
        <f>192500000+13000000</f>
        <v>205500000</v>
      </c>
    </row>
    <row r="35" ht="21" spans="2:12">
      <c r="B35" s="5"/>
      <c r="C35" s="93" t="s">
        <v>265</v>
      </c>
      <c r="D35" s="91" t="s">
        <v>274</v>
      </c>
      <c r="E35" s="92"/>
      <c r="F35" s="87">
        <v>8044000</v>
      </c>
      <c r="G35" s="87">
        <f>8803117.25-F35</f>
        <v>759117.25</v>
      </c>
      <c r="H35" s="10"/>
      <c r="L35" s="142">
        <v>7133653.25</v>
      </c>
    </row>
    <row r="36" ht="7.8" customHeight="1" spans="2:12">
      <c r="B36" s="5"/>
      <c r="C36" s="93"/>
      <c r="D36" s="94"/>
      <c r="E36" s="95"/>
      <c r="F36" s="96"/>
      <c r="G36" s="97"/>
      <c r="H36" s="10"/>
      <c r="L36" s="142"/>
    </row>
    <row r="37" ht="19.2" customHeight="1" spans="2:12">
      <c r="B37" s="5"/>
      <c r="C37" s="79" t="s">
        <v>20</v>
      </c>
      <c r="D37" s="98" t="s">
        <v>141</v>
      </c>
      <c r="E37" s="81"/>
      <c r="F37" s="82"/>
      <c r="G37" s="99"/>
      <c r="H37" s="10"/>
      <c r="L37" s="142">
        <v>14509106.75</v>
      </c>
    </row>
    <row r="38" ht="22.5" spans="2:12">
      <c r="B38" s="5"/>
      <c r="C38" s="93">
        <v>45054</v>
      </c>
      <c r="D38" s="151" t="s">
        <v>275</v>
      </c>
      <c r="E38" s="101"/>
      <c r="F38" s="102">
        <v>8044000</v>
      </c>
      <c r="G38" s="103"/>
      <c r="H38" s="10"/>
      <c r="L38" s="142">
        <v>14509106.75</v>
      </c>
    </row>
    <row r="39" ht="22.5" spans="2:12">
      <c r="B39" s="5"/>
      <c r="C39" s="104"/>
      <c r="D39" s="105"/>
      <c r="E39" s="106" t="s">
        <v>25</v>
      </c>
      <c r="F39" s="107">
        <f>F38-SUM(F34:F35)</f>
        <v>0</v>
      </c>
      <c r="G39" s="108"/>
      <c r="H39" s="10"/>
      <c r="L39" s="141">
        <f>F35+G35+3866346.75</f>
        <v>12669464</v>
      </c>
    </row>
    <row r="40" ht="10.2" customHeight="1" spans="2:8">
      <c r="B40" s="5"/>
      <c r="C40" s="109"/>
      <c r="D40" s="66"/>
      <c r="E40" s="66"/>
      <c r="F40" s="66"/>
      <c r="G40" s="110"/>
      <c r="H40" s="10"/>
    </row>
    <row r="41" ht="21.75" spans="2:12">
      <c r="B41" s="5"/>
      <c r="C41" s="111" t="s">
        <v>26</v>
      </c>
      <c r="D41" s="112"/>
      <c r="E41" s="112"/>
      <c r="F41" s="113">
        <f>F29+F38</f>
        <v>258615382.75</v>
      </c>
      <c r="G41" s="114">
        <f>G4-F41</f>
        <v>494515210.305</v>
      </c>
      <c r="H41" s="10"/>
      <c r="L41" s="143">
        <v>3064367.25</v>
      </c>
    </row>
    <row r="42" ht="21" spans="2:12">
      <c r="B42" s="5"/>
      <c r="C42" s="115" t="s">
        <v>27</v>
      </c>
      <c r="D42" s="116"/>
      <c r="E42" s="34"/>
      <c r="F42" s="117"/>
      <c r="G42" s="56"/>
      <c r="H42" s="10"/>
      <c r="L42" s="1">
        <f>5324450+3191882.75+6419300</f>
        <v>14935632.75</v>
      </c>
    </row>
    <row r="43" ht="22.5" spans="2:8">
      <c r="B43" s="5"/>
      <c r="C43" s="118" t="s">
        <v>28</v>
      </c>
      <c r="D43" s="119" t="s">
        <v>1</v>
      </c>
      <c r="E43" s="120">
        <f>F39</f>
        <v>0</v>
      </c>
      <c r="F43" s="117"/>
      <c r="G43" s="56"/>
      <c r="H43" s="10"/>
    </row>
    <row r="44" ht="21" spans="2:8">
      <c r="B44" s="5"/>
      <c r="C44" s="118" t="s">
        <v>29</v>
      </c>
      <c r="D44" s="119" t="s">
        <v>1</v>
      </c>
      <c r="E44" s="121" t="s">
        <v>30</v>
      </c>
      <c r="F44" s="117"/>
      <c r="G44" s="56"/>
      <c r="H44" s="10"/>
    </row>
    <row r="45" ht="21" spans="2:8">
      <c r="B45" s="5"/>
      <c r="C45" s="122" t="s">
        <v>31</v>
      </c>
      <c r="D45" s="123" t="s">
        <v>1</v>
      </c>
      <c r="E45" s="124" t="s">
        <v>32</v>
      </c>
      <c r="F45" s="125" t="s">
        <v>50</v>
      </c>
      <c r="G45" s="126"/>
      <c r="H45" s="10"/>
    </row>
    <row r="46" ht="6" customHeight="1" spans="2:8">
      <c r="B46" s="127"/>
      <c r="C46" s="128"/>
      <c r="D46" s="128"/>
      <c r="E46" s="128"/>
      <c r="F46" s="128"/>
      <c r="G46" s="128"/>
      <c r="H46" s="129"/>
    </row>
    <row r="47" ht="19.5" spans="3:7">
      <c r="C47" s="130"/>
      <c r="D47" s="130"/>
      <c r="E47" s="130"/>
      <c r="F47" s="130"/>
      <c r="G47" s="130"/>
    </row>
    <row r="48" ht="19.5" spans="3:7">
      <c r="C48" s="131" t="s">
        <v>34</v>
      </c>
      <c r="D48" s="132"/>
      <c r="E48" s="133"/>
      <c r="F48" s="134"/>
      <c r="G48" s="130"/>
    </row>
    <row r="49" ht="19.5" spans="3:7">
      <c r="C49" s="131"/>
      <c r="D49" s="132"/>
      <c r="E49" s="133"/>
      <c r="F49" s="135" t="s">
        <v>35</v>
      </c>
      <c r="G49" s="136">
        <v>15000000</v>
      </c>
    </row>
    <row r="50" ht="19.5" spans="3:7">
      <c r="C50" s="131" t="s">
        <v>36</v>
      </c>
      <c r="D50" s="132"/>
      <c r="E50" s="133">
        <v>75313059305.5</v>
      </c>
      <c r="F50" s="137" t="s">
        <v>37</v>
      </c>
      <c r="G50" s="138"/>
    </row>
    <row r="51" ht="19.5" spans="3:7">
      <c r="C51" s="139">
        <v>0.01</v>
      </c>
      <c r="D51" s="132"/>
      <c r="E51" s="133">
        <f>E50*C51</f>
        <v>753130593.055</v>
      </c>
      <c r="F51" s="137" t="s">
        <v>38</v>
      </c>
      <c r="G51" s="140"/>
    </row>
    <row r="52" ht="19.5" spans="3:7">
      <c r="C52" s="130"/>
      <c r="D52" s="130"/>
      <c r="E52" s="130"/>
      <c r="F52" s="130"/>
      <c r="G52" s="130"/>
    </row>
    <row r="53" ht="19.5" spans="3:7">
      <c r="C53" s="130"/>
      <c r="D53" s="130"/>
      <c r="E53" s="130"/>
      <c r="F53" s="130"/>
      <c r="G53" s="130"/>
    </row>
  </sheetData>
  <mergeCells count="27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31:E31"/>
    <mergeCell ref="D33:E33"/>
    <mergeCell ref="D34:E34"/>
    <mergeCell ref="D35:E35"/>
    <mergeCell ref="D37:E37"/>
    <mergeCell ref="D38:E38"/>
    <mergeCell ref="C41:E41"/>
    <mergeCell ref="F45:G45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6"/>
  <sheetViews>
    <sheetView view="pageBreakPreview" zoomScale="85" zoomScaleNormal="85" topLeftCell="A25" workbookViewId="0">
      <selection activeCell="D39" sqref="D3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276</v>
      </c>
      <c r="F4" s="6" t="s">
        <v>3</v>
      </c>
      <c r="G4" s="9">
        <f>+E54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F44</f>
        <v>269934682.75</v>
      </c>
      <c r="H5" s="10"/>
    </row>
    <row r="6" ht="22.5" spans="2:8">
      <c r="B6" s="5"/>
      <c r="C6" s="11" t="s">
        <v>7</v>
      </c>
      <c r="D6" s="12" t="s">
        <v>1</v>
      </c>
      <c r="E6" s="15" t="s">
        <v>277</v>
      </c>
      <c r="F6" s="11" t="s">
        <v>9</v>
      </c>
      <c r="G6" s="14">
        <f>G4-G5</f>
        <v>483195910.305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0.641583166001747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278</v>
      </c>
      <c r="D28" s="48" t="s">
        <v>279</v>
      </c>
      <c r="E28" s="49"/>
      <c r="F28" s="50">
        <f>+LK.31!F38</f>
        <v>8044000</v>
      </c>
      <c r="G28" s="58"/>
      <c r="H28" s="10"/>
    </row>
    <row r="29" ht="21" spans="2:12">
      <c r="B29" s="5"/>
      <c r="C29" s="51"/>
      <c r="D29" s="150" t="s">
        <v>280</v>
      </c>
      <c r="E29" s="53"/>
      <c r="F29" s="54"/>
      <c r="G29" s="60"/>
      <c r="H29" s="10"/>
      <c r="L29" s="1">
        <v>1439817.25</v>
      </c>
    </row>
    <row r="30" ht="5.4" customHeight="1" spans="2:8">
      <c r="B30" s="5"/>
      <c r="C30" s="61"/>
      <c r="D30" s="62"/>
      <c r="E30" s="62"/>
      <c r="F30" s="63"/>
      <c r="G30" s="64"/>
      <c r="H30" s="10"/>
    </row>
    <row r="31" ht="22.5" spans="2:8">
      <c r="B31" s="5"/>
      <c r="C31" s="65"/>
      <c r="D31" s="66"/>
      <c r="E31" s="67" t="s">
        <v>18</v>
      </c>
      <c r="F31" s="68">
        <f>SUM(F12:F29)</f>
        <v>258615382.75</v>
      </c>
      <c r="G31" s="69">
        <f>G4-F31</f>
        <v>494515210.305</v>
      </c>
      <c r="H31" s="10"/>
    </row>
    <row r="32" ht="5.4" customHeight="1" spans="2:8">
      <c r="B32" s="5"/>
      <c r="C32" s="70"/>
      <c r="D32" s="71"/>
      <c r="E32" s="72"/>
      <c r="F32" s="73"/>
      <c r="G32" s="74"/>
      <c r="H32" s="10"/>
    </row>
    <row r="33" ht="22.5" spans="2:8">
      <c r="B33" s="5"/>
      <c r="C33" s="75"/>
      <c r="D33" s="28" t="s">
        <v>132</v>
      </c>
      <c r="E33" s="76"/>
      <c r="F33" s="77">
        <v>0</v>
      </c>
      <c r="G33" s="78"/>
      <c r="H33" s="10"/>
    </row>
    <row r="34" ht="6" customHeight="1" spans="2:8">
      <c r="B34" s="5"/>
      <c r="C34" s="75"/>
      <c r="D34" s="28"/>
      <c r="E34" s="76"/>
      <c r="F34" s="77"/>
      <c r="G34" s="78"/>
      <c r="H34" s="10"/>
    </row>
    <row r="35" ht="21" spans="2:12">
      <c r="B35" s="5"/>
      <c r="C35" s="79" t="s">
        <v>20</v>
      </c>
      <c r="D35" s="80" t="s">
        <v>133</v>
      </c>
      <c r="E35" s="81"/>
      <c r="F35" s="82" t="s">
        <v>134</v>
      </c>
      <c r="G35" s="83" t="s">
        <v>135</v>
      </c>
      <c r="H35" s="10"/>
      <c r="L35" s="141">
        <v>10240882.75</v>
      </c>
    </row>
    <row r="36" ht="21" spans="2:12">
      <c r="B36" s="5"/>
      <c r="C36" s="79"/>
      <c r="D36" s="152" t="s">
        <v>273</v>
      </c>
      <c r="E36" s="85"/>
      <c r="F36" s="86">
        <v>0</v>
      </c>
      <c r="G36" s="87">
        <v>0</v>
      </c>
      <c r="H36" s="10"/>
      <c r="L36" s="1">
        <f>192500000+13000000</f>
        <v>205500000</v>
      </c>
    </row>
    <row r="37" ht="21" spans="2:8">
      <c r="B37" s="5"/>
      <c r="C37" s="93" t="s">
        <v>265</v>
      </c>
      <c r="D37" s="91" t="s">
        <v>281</v>
      </c>
      <c r="E37" s="92"/>
      <c r="F37" s="87">
        <v>759117.25</v>
      </c>
      <c r="G37" s="87">
        <v>0</v>
      </c>
      <c r="H37" s="10"/>
    </row>
    <row r="38" ht="21" spans="2:12">
      <c r="B38" s="5"/>
      <c r="C38" s="93" t="s">
        <v>282</v>
      </c>
      <c r="D38" s="91" t="s">
        <v>283</v>
      </c>
      <c r="E38" s="92"/>
      <c r="F38" s="87">
        <v>10560182.75</v>
      </c>
      <c r="G38" s="87">
        <f>12000000-F38</f>
        <v>1439817.25</v>
      </c>
      <c r="H38" s="10"/>
      <c r="L38" s="142">
        <v>7133653.25</v>
      </c>
    </row>
    <row r="39" ht="7.8" customHeight="1" spans="2:12">
      <c r="B39" s="5"/>
      <c r="C39" s="93"/>
      <c r="D39" s="94"/>
      <c r="E39" s="95"/>
      <c r="F39" s="96"/>
      <c r="G39" s="97"/>
      <c r="H39" s="10"/>
      <c r="L39" s="142"/>
    </row>
    <row r="40" ht="19.2" customHeight="1" spans="2:12">
      <c r="B40" s="5"/>
      <c r="C40" s="79" t="s">
        <v>20</v>
      </c>
      <c r="D40" s="98" t="s">
        <v>141</v>
      </c>
      <c r="E40" s="81"/>
      <c r="F40" s="82"/>
      <c r="G40" s="99"/>
      <c r="H40" s="10"/>
      <c r="L40" s="142">
        <v>14509106.75</v>
      </c>
    </row>
    <row r="41" ht="22.5" spans="2:12">
      <c r="B41" s="5"/>
      <c r="C41" s="93">
        <v>45054</v>
      </c>
      <c r="D41" s="151" t="s">
        <v>284</v>
      </c>
      <c r="E41" s="101"/>
      <c r="F41" s="102">
        <v>11319300</v>
      </c>
      <c r="G41" s="103"/>
      <c r="H41" s="10"/>
      <c r="L41" s="142">
        <v>14509106.75</v>
      </c>
    </row>
    <row r="42" ht="22.5" spans="2:12">
      <c r="B42" s="5"/>
      <c r="C42" s="104"/>
      <c r="D42" s="105"/>
      <c r="E42" s="106" t="s">
        <v>25</v>
      </c>
      <c r="F42" s="107">
        <f>F41-SUM(F36:F38)</f>
        <v>0</v>
      </c>
      <c r="G42" s="108"/>
      <c r="H42" s="10"/>
      <c r="L42" s="141">
        <f>F38+G38+3866346.75</f>
        <v>15866346.75</v>
      </c>
    </row>
    <row r="43" ht="10.2" customHeight="1" spans="2:8">
      <c r="B43" s="5"/>
      <c r="C43" s="109"/>
      <c r="D43" s="66"/>
      <c r="E43" s="66"/>
      <c r="F43" s="66"/>
      <c r="G43" s="110"/>
      <c r="H43" s="10"/>
    </row>
    <row r="44" ht="21.75" spans="2:12">
      <c r="B44" s="5"/>
      <c r="C44" s="111" t="s">
        <v>26</v>
      </c>
      <c r="D44" s="112"/>
      <c r="E44" s="112"/>
      <c r="F44" s="113">
        <f>F31+F41</f>
        <v>269934682.75</v>
      </c>
      <c r="G44" s="114">
        <f>G4-F44</f>
        <v>483195910.305</v>
      </c>
      <c r="H44" s="10"/>
      <c r="L44" s="143">
        <v>3064367.25</v>
      </c>
    </row>
    <row r="45" ht="21" spans="2:12">
      <c r="B45" s="5"/>
      <c r="C45" s="115" t="s">
        <v>27</v>
      </c>
      <c r="D45" s="116"/>
      <c r="E45" s="34"/>
      <c r="F45" s="117"/>
      <c r="G45" s="56"/>
      <c r="H45" s="10"/>
      <c r="L45" s="1">
        <f>5324450+3191882.75+6419300</f>
        <v>14935632.75</v>
      </c>
    </row>
    <row r="46" ht="22.5" spans="2:8">
      <c r="B46" s="5"/>
      <c r="C46" s="118" t="s">
        <v>28</v>
      </c>
      <c r="D46" s="119" t="s">
        <v>1</v>
      </c>
      <c r="E46" s="120">
        <f>F42</f>
        <v>0</v>
      </c>
      <c r="F46" s="117"/>
      <c r="G46" s="56"/>
      <c r="H46" s="10"/>
    </row>
    <row r="47" ht="21" spans="2:8">
      <c r="B47" s="5"/>
      <c r="C47" s="118" t="s">
        <v>29</v>
      </c>
      <c r="D47" s="119" t="s">
        <v>1</v>
      </c>
      <c r="E47" s="121" t="s">
        <v>30</v>
      </c>
      <c r="F47" s="117"/>
      <c r="G47" s="56"/>
      <c r="H47" s="10"/>
    </row>
    <row r="48" ht="21" spans="2:8">
      <c r="B48" s="5"/>
      <c r="C48" s="122" t="s">
        <v>31</v>
      </c>
      <c r="D48" s="123" t="s">
        <v>1</v>
      </c>
      <c r="E48" s="124" t="s">
        <v>32</v>
      </c>
      <c r="F48" s="125" t="s">
        <v>50</v>
      </c>
      <c r="G48" s="126"/>
      <c r="H48" s="10"/>
    </row>
    <row r="49" ht="6" customHeight="1" spans="2:8">
      <c r="B49" s="127"/>
      <c r="C49" s="128"/>
      <c r="D49" s="128"/>
      <c r="E49" s="128"/>
      <c r="F49" s="128"/>
      <c r="G49" s="128"/>
      <c r="H49" s="129"/>
    </row>
    <row r="50" ht="19.5" spans="3:7">
      <c r="C50" s="130"/>
      <c r="D50" s="130"/>
      <c r="E50" s="130"/>
      <c r="F50" s="130"/>
      <c r="G50" s="130"/>
    </row>
    <row r="51" ht="19.5" spans="3:7">
      <c r="C51" s="131" t="s">
        <v>34</v>
      </c>
      <c r="D51" s="132"/>
      <c r="E51" s="133"/>
      <c r="F51" s="134"/>
      <c r="G51" s="130"/>
    </row>
    <row r="52" ht="19.5" spans="3:7">
      <c r="C52" s="131"/>
      <c r="D52" s="132"/>
      <c r="E52" s="133"/>
      <c r="F52" s="135" t="s">
        <v>35</v>
      </c>
      <c r="G52" s="136">
        <v>15000000</v>
      </c>
    </row>
    <row r="53" ht="19.5" spans="3:7">
      <c r="C53" s="131" t="s">
        <v>36</v>
      </c>
      <c r="D53" s="132"/>
      <c r="E53" s="133">
        <v>75313059305.5</v>
      </c>
      <c r="F53" s="137" t="s">
        <v>37</v>
      </c>
      <c r="G53" s="138"/>
    </row>
    <row r="54" ht="19.5" spans="3:7">
      <c r="C54" s="139">
        <v>0.01</v>
      </c>
      <c r="D54" s="132"/>
      <c r="E54" s="133">
        <f>E53*C54</f>
        <v>753130593.055</v>
      </c>
      <c r="F54" s="137" t="s">
        <v>38</v>
      </c>
      <c r="G54" s="140"/>
    </row>
    <row r="55" ht="19.5" spans="3:7">
      <c r="C55" s="130"/>
      <c r="D55" s="130"/>
      <c r="E55" s="130"/>
      <c r="F55" s="130"/>
      <c r="G55" s="130"/>
    </row>
    <row r="56" ht="19.5" spans="3:7">
      <c r="C56" s="130"/>
      <c r="D56" s="130"/>
      <c r="E56" s="130"/>
      <c r="F56" s="130"/>
      <c r="G56" s="130"/>
    </row>
  </sheetData>
  <mergeCells count="3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8:E38"/>
    <mergeCell ref="D40:E40"/>
    <mergeCell ref="D41:E41"/>
    <mergeCell ref="C44:E44"/>
    <mergeCell ref="F48:G48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7"/>
  <sheetViews>
    <sheetView view="pageBreakPreview" zoomScale="85" zoomScaleNormal="85" topLeftCell="A23" workbookViewId="0">
      <selection activeCell="D30" sqref="D30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285</v>
      </c>
      <c r="F4" s="6" t="s">
        <v>3</v>
      </c>
      <c r="G4" s="9">
        <f>+E55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283104682.75</v>
      </c>
      <c r="H5" s="10"/>
    </row>
    <row r="6" ht="22.5" spans="2:8">
      <c r="B6" s="5"/>
      <c r="C6" s="11" t="s">
        <v>7</v>
      </c>
      <c r="D6" s="12" t="s">
        <v>1</v>
      </c>
      <c r="E6" s="15" t="s">
        <v>286</v>
      </c>
      <c r="F6" s="11" t="s">
        <v>9</v>
      </c>
      <c r="G6" s="14">
        <f>G4-G5</f>
        <v>470025910.305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0.624096158938898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287</v>
      </c>
      <c r="D28" s="48" t="s">
        <v>288</v>
      </c>
      <c r="E28" s="49"/>
      <c r="F28" s="50">
        <f>+LK.31!F38+LK.32!F41</f>
        <v>19363300</v>
      </c>
      <c r="G28" s="58"/>
      <c r="H28" s="10"/>
    </row>
    <row r="29" ht="21" spans="2:12">
      <c r="B29" s="5"/>
      <c r="C29" s="51"/>
      <c r="D29" s="150" t="s">
        <v>289</v>
      </c>
      <c r="E29" s="53"/>
      <c r="F29" s="54"/>
      <c r="G29" s="60"/>
      <c r="H29" s="10"/>
      <c r="L29" s="1">
        <v>1439817.25</v>
      </c>
    </row>
    <row r="30" ht="5.4" customHeight="1" spans="2:8">
      <c r="B30" s="5"/>
      <c r="C30" s="61"/>
      <c r="D30" s="62"/>
      <c r="E30" s="62"/>
      <c r="F30" s="63"/>
      <c r="G30" s="64"/>
      <c r="H30" s="10"/>
    </row>
    <row r="31" ht="22.5" spans="2:8">
      <c r="B31" s="5"/>
      <c r="C31" s="65"/>
      <c r="D31" s="66"/>
      <c r="E31" s="67" t="s">
        <v>18</v>
      </c>
      <c r="F31" s="68">
        <f>SUM(F12:F29)</f>
        <v>269934682.75</v>
      </c>
      <c r="G31" s="69">
        <f>G4-F31</f>
        <v>483195910.305</v>
      </c>
      <c r="H31" s="10"/>
    </row>
    <row r="32" ht="5.4" customHeight="1" spans="2:8">
      <c r="B32" s="5"/>
      <c r="C32" s="70"/>
      <c r="D32" s="71"/>
      <c r="E32" s="72"/>
      <c r="F32" s="73"/>
      <c r="G32" s="74"/>
      <c r="H32" s="10"/>
    </row>
    <row r="33" ht="22.5" spans="2:8">
      <c r="B33" s="5"/>
      <c r="C33" s="75"/>
      <c r="D33" s="28" t="s">
        <v>132</v>
      </c>
      <c r="E33" s="76"/>
      <c r="F33" s="77">
        <v>0</v>
      </c>
      <c r="G33" s="78"/>
      <c r="H33" s="10"/>
    </row>
    <row r="34" ht="6" customHeight="1" spans="2:8">
      <c r="B34" s="5"/>
      <c r="C34" s="75"/>
      <c r="D34" s="28"/>
      <c r="E34" s="76"/>
      <c r="F34" s="77"/>
      <c r="G34" s="78"/>
      <c r="H34" s="10"/>
    </row>
    <row r="35" ht="21" spans="2:12">
      <c r="B35" s="5"/>
      <c r="C35" s="79" t="s">
        <v>20</v>
      </c>
      <c r="D35" s="80" t="s">
        <v>133</v>
      </c>
      <c r="E35" s="81"/>
      <c r="F35" s="82" t="s">
        <v>134</v>
      </c>
      <c r="G35" s="83" t="s">
        <v>135</v>
      </c>
      <c r="H35" s="10"/>
      <c r="L35" s="141">
        <v>10240882.75</v>
      </c>
    </row>
    <row r="36" ht="21" spans="2:12">
      <c r="B36" s="5"/>
      <c r="C36" s="79"/>
      <c r="D36" s="152" t="s">
        <v>290</v>
      </c>
      <c r="E36" s="85"/>
      <c r="F36" s="86">
        <v>0</v>
      </c>
      <c r="G36" s="87">
        <v>0</v>
      </c>
      <c r="H36" s="10"/>
      <c r="L36" s="1">
        <f>192500000+13000000</f>
        <v>205500000</v>
      </c>
    </row>
    <row r="37" ht="19.8" customHeight="1" spans="2:12">
      <c r="B37" s="5"/>
      <c r="C37" s="93" t="s">
        <v>282</v>
      </c>
      <c r="D37" s="91" t="s">
        <v>291</v>
      </c>
      <c r="E37" s="92"/>
      <c r="F37" s="87">
        <v>1439817.25</v>
      </c>
      <c r="G37" s="87">
        <v>0</v>
      </c>
      <c r="H37" s="10"/>
      <c r="L37" s="1">
        <f>218500000+13000000+11000000</f>
        <v>242500000</v>
      </c>
    </row>
    <row r="38" ht="19.8" customHeight="1" spans="2:8">
      <c r="B38" s="5"/>
      <c r="C38" s="93" t="s">
        <v>292</v>
      </c>
      <c r="D38" s="91" t="s">
        <v>293</v>
      </c>
      <c r="E38" s="92"/>
      <c r="F38" s="87">
        <v>8000000</v>
      </c>
      <c r="G38" s="87">
        <v>0</v>
      </c>
      <c r="H38" s="10"/>
    </row>
    <row r="39" ht="21" spans="2:12">
      <c r="B39" s="5"/>
      <c r="C39" s="93" t="s">
        <v>294</v>
      </c>
      <c r="D39" s="91" t="s">
        <v>295</v>
      </c>
      <c r="E39" s="92"/>
      <c r="F39" s="87">
        <v>3730182.75</v>
      </c>
      <c r="G39" s="87">
        <f>20000000-F39</f>
        <v>16269817.25</v>
      </c>
      <c r="H39" s="10"/>
      <c r="L39" s="142">
        <v>7133653.25</v>
      </c>
    </row>
    <row r="40" ht="7.8" customHeight="1" spans="2:12">
      <c r="B40" s="5"/>
      <c r="C40" s="93"/>
      <c r="D40" s="94"/>
      <c r="E40" s="95"/>
      <c r="F40" s="96"/>
      <c r="G40" s="97"/>
      <c r="H40" s="10"/>
      <c r="L40" s="142"/>
    </row>
    <row r="41" ht="19.2" customHeight="1" spans="2:12">
      <c r="B41" s="5"/>
      <c r="C41" s="79" t="s">
        <v>20</v>
      </c>
      <c r="D41" s="98" t="s">
        <v>141</v>
      </c>
      <c r="E41" s="81"/>
      <c r="F41" s="82"/>
      <c r="G41" s="99"/>
      <c r="H41" s="10"/>
      <c r="L41" s="142">
        <v>14509106.75</v>
      </c>
    </row>
    <row r="42" ht="22.5" spans="2:12">
      <c r="B42" s="5"/>
      <c r="C42" s="93">
        <v>45063</v>
      </c>
      <c r="D42" s="151" t="s">
        <v>296</v>
      </c>
      <c r="E42" s="101"/>
      <c r="F42" s="102">
        <v>13170000</v>
      </c>
      <c r="G42" s="103"/>
      <c r="H42" s="10"/>
      <c r="L42" s="142">
        <v>14509106.75</v>
      </c>
    </row>
    <row r="43" ht="22.5" spans="2:12">
      <c r="B43" s="5"/>
      <c r="C43" s="104"/>
      <c r="D43" s="105"/>
      <c r="E43" s="106" t="s">
        <v>25</v>
      </c>
      <c r="F43" s="107">
        <f>F42-SUM(F36:F39)</f>
        <v>0</v>
      </c>
      <c r="G43" s="108"/>
      <c r="H43" s="10"/>
      <c r="L43" s="141">
        <f>F39+G39+3866346.75</f>
        <v>23866346.75</v>
      </c>
    </row>
    <row r="44" ht="10.2" customHeight="1" spans="2:8">
      <c r="B44" s="5"/>
      <c r="C44" s="109"/>
      <c r="D44" s="66"/>
      <c r="E44" s="66"/>
      <c r="F44" s="66"/>
      <c r="G44" s="110"/>
      <c r="H44" s="10"/>
    </row>
    <row r="45" ht="21.75" spans="2:12">
      <c r="B45" s="5"/>
      <c r="C45" s="111" t="s">
        <v>26</v>
      </c>
      <c r="D45" s="112"/>
      <c r="E45" s="112"/>
      <c r="F45" s="113">
        <f>F31+F42</f>
        <v>283104682.75</v>
      </c>
      <c r="G45" s="114">
        <f>G4-F45</f>
        <v>470025910.305</v>
      </c>
      <c r="H45" s="10"/>
      <c r="L45" s="143">
        <v>3064367.25</v>
      </c>
    </row>
    <row r="46" ht="21" spans="2:12">
      <c r="B46" s="5"/>
      <c r="C46" s="115" t="s">
        <v>27</v>
      </c>
      <c r="D46" s="116"/>
      <c r="E46" s="34"/>
      <c r="F46" s="117"/>
      <c r="G46" s="56"/>
      <c r="H46" s="10"/>
      <c r="L46" s="1">
        <f>5324450+3191882.75+6419300</f>
        <v>14935632.75</v>
      </c>
    </row>
    <row r="47" ht="22.5" spans="2:8">
      <c r="B47" s="5"/>
      <c r="C47" s="118" t="s">
        <v>28</v>
      </c>
      <c r="D47" s="119" t="s">
        <v>1</v>
      </c>
      <c r="E47" s="120">
        <f>F43</f>
        <v>0</v>
      </c>
      <c r="F47" s="117"/>
      <c r="G47" s="56"/>
      <c r="H47" s="10"/>
    </row>
    <row r="48" ht="21" spans="2:8">
      <c r="B48" s="5"/>
      <c r="C48" s="118" t="s">
        <v>29</v>
      </c>
      <c r="D48" s="119" t="s">
        <v>1</v>
      </c>
      <c r="E48" s="121" t="s">
        <v>30</v>
      </c>
      <c r="F48" s="117"/>
      <c r="G48" s="56"/>
      <c r="H48" s="10"/>
    </row>
    <row r="49" ht="21" spans="2:8">
      <c r="B49" s="5"/>
      <c r="C49" s="122" t="s">
        <v>31</v>
      </c>
      <c r="D49" s="123" t="s">
        <v>1</v>
      </c>
      <c r="E49" s="124" t="s">
        <v>32</v>
      </c>
      <c r="F49" s="125" t="s">
        <v>50</v>
      </c>
      <c r="G49" s="126"/>
      <c r="H49" s="10"/>
    </row>
    <row r="50" ht="6" customHeight="1" spans="2:8">
      <c r="B50" s="127"/>
      <c r="C50" s="128"/>
      <c r="D50" s="128"/>
      <c r="E50" s="128"/>
      <c r="F50" s="128"/>
      <c r="G50" s="128"/>
      <c r="H50" s="129"/>
    </row>
    <row r="51" ht="19.5" spans="3:7">
      <c r="C51" s="130"/>
      <c r="D51" s="130"/>
      <c r="E51" s="130"/>
      <c r="F51" s="130"/>
      <c r="G51" s="130"/>
    </row>
    <row r="52" ht="19.5" spans="3:7">
      <c r="C52" s="131" t="s">
        <v>34</v>
      </c>
      <c r="D52" s="132"/>
      <c r="E52" s="133"/>
      <c r="F52" s="134"/>
      <c r="G52" s="130"/>
    </row>
    <row r="53" ht="19.5" spans="3:7">
      <c r="C53" s="131"/>
      <c r="D53" s="132"/>
      <c r="E53" s="133"/>
      <c r="F53" s="135" t="s">
        <v>35</v>
      </c>
      <c r="G53" s="136">
        <v>15000000</v>
      </c>
    </row>
    <row r="54" ht="19.5" spans="3:7">
      <c r="C54" s="131" t="s">
        <v>36</v>
      </c>
      <c r="D54" s="132"/>
      <c r="E54" s="133">
        <v>75313059305.5</v>
      </c>
      <c r="F54" s="137" t="s">
        <v>37</v>
      </c>
      <c r="G54" s="138"/>
    </row>
    <row r="55" ht="19.5" spans="3:7">
      <c r="C55" s="139">
        <v>0.01</v>
      </c>
      <c r="D55" s="132"/>
      <c r="E55" s="133">
        <f>E54*C55</f>
        <v>753130593.055</v>
      </c>
      <c r="F55" s="137" t="s">
        <v>38</v>
      </c>
      <c r="G55" s="140"/>
    </row>
    <row r="56" ht="19.5" spans="3:7">
      <c r="C56" s="130"/>
      <c r="D56" s="130"/>
      <c r="E56" s="130"/>
      <c r="F56" s="130"/>
      <c r="G56" s="130"/>
    </row>
    <row r="57" ht="19.5" spans="3:7">
      <c r="C57" s="130"/>
      <c r="D57" s="130"/>
      <c r="E57" s="130"/>
      <c r="F57" s="130"/>
      <c r="G57" s="130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8:E38"/>
    <mergeCell ref="D39:E39"/>
    <mergeCell ref="D41:E41"/>
    <mergeCell ref="D42:E42"/>
    <mergeCell ref="C45:E45"/>
    <mergeCell ref="F49:G49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5"/>
  <sheetViews>
    <sheetView view="pageBreakPreview" zoomScale="85" zoomScaleNormal="85" topLeftCell="A20" workbookViewId="0">
      <selection activeCell="E32" sqref="E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297</v>
      </c>
      <c r="F4" s="6" t="s">
        <v>3</v>
      </c>
      <c r="G4" s="9">
        <f>+E53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287715182.75</v>
      </c>
      <c r="H5" s="10"/>
    </row>
    <row r="6" ht="22.5" spans="2:8">
      <c r="B6" s="5"/>
      <c r="C6" s="11" t="s">
        <v>7</v>
      </c>
      <c r="D6" s="12" t="s">
        <v>1</v>
      </c>
      <c r="E6" s="15" t="s">
        <v>298</v>
      </c>
      <c r="F6" s="11" t="s">
        <v>9</v>
      </c>
      <c r="G6" s="14">
        <f>G4-G5</f>
        <v>465415410.305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0.617974378675932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299</v>
      </c>
      <c r="D28" s="48" t="s">
        <v>300</v>
      </c>
      <c r="E28" s="49"/>
      <c r="F28" s="50">
        <f>+LK.31!F38+LK.32!F41+LK.33!F42</f>
        <v>32533300</v>
      </c>
      <c r="G28" s="58"/>
      <c r="H28" s="10"/>
    </row>
    <row r="29" ht="21" spans="2:12">
      <c r="B29" s="5"/>
      <c r="C29" s="51"/>
      <c r="D29" s="150" t="s">
        <v>301</v>
      </c>
      <c r="E29" s="53"/>
      <c r="F29" s="54"/>
      <c r="G29" s="60"/>
      <c r="H29" s="10"/>
      <c r="L29" s="1">
        <v>1439817.25</v>
      </c>
    </row>
    <row r="30" ht="5.4" customHeight="1" spans="2:8">
      <c r="B30" s="5"/>
      <c r="C30" s="61"/>
      <c r="D30" s="62"/>
      <c r="E30" s="62"/>
      <c r="F30" s="63"/>
      <c r="G30" s="64"/>
      <c r="H30" s="10"/>
    </row>
    <row r="31" ht="22.5" spans="2:8">
      <c r="B31" s="5"/>
      <c r="C31" s="65"/>
      <c r="D31" s="66"/>
      <c r="E31" s="67" t="s">
        <v>18</v>
      </c>
      <c r="F31" s="68">
        <f>SUM(F12:F29)</f>
        <v>283104682.75</v>
      </c>
      <c r="G31" s="69">
        <f>G4-F31</f>
        <v>470025910.305</v>
      </c>
      <c r="H31" s="10"/>
    </row>
    <row r="32" ht="5.4" customHeight="1" spans="2:8">
      <c r="B32" s="5"/>
      <c r="C32" s="70"/>
      <c r="D32" s="71"/>
      <c r="E32" s="72"/>
      <c r="F32" s="73"/>
      <c r="G32" s="74"/>
      <c r="H32" s="10"/>
    </row>
    <row r="33" ht="22.5" spans="2:8">
      <c r="B33" s="5"/>
      <c r="C33" s="75"/>
      <c r="D33" s="28" t="s">
        <v>132</v>
      </c>
      <c r="E33" s="76"/>
      <c r="F33" s="77">
        <v>0</v>
      </c>
      <c r="G33" s="78"/>
      <c r="H33" s="10"/>
    </row>
    <row r="34" ht="6" customHeight="1" spans="2:8">
      <c r="B34" s="5"/>
      <c r="C34" s="75"/>
      <c r="D34" s="28"/>
      <c r="E34" s="76"/>
      <c r="F34" s="77"/>
      <c r="G34" s="78"/>
      <c r="H34" s="10"/>
    </row>
    <row r="35" ht="21" spans="2:12">
      <c r="B35" s="5"/>
      <c r="C35" s="79" t="s">
        <v>20</v>
      </c>
      <c r="D35" s="80" t="s">
        <v>133</v>
      </c>
      <c r="E35" s="81"/>
      <c r="F35" s="82" t="s">
        <v>134</v>
      </c>
      <c r="G35" s="83" t="s">
        <v>135</v>
      </c>
      <c r="H35" s="10"/>
      <c r="L35" s="141">
        <v>10240882.75</v>
      </c>
    </row>
    <row r="36" ht="21" spans="2:12">
      <c r="B36" s="5"/>
      <c r="C36" s="79"/>
      <c r="D36" s="152" t="s">
        <v>302</v>
      </c>
      <c r="E36" s="85"/>
      <c r="F36" s="86">
        <v>0</v>
      </c>
      <c r="G36" s="87">
        <v>0</v>
      </c>
      <c r="H36" s="10"/>
      <c r="L36" s="1">
        <f>192500000+13000000</f>
        <v>205500000</v>
      </c>
    </row>
    <row r="37" ht="21" spans="2:12">
      <c r="B37" s="5"/>
      <c r="C37" s="93" t="s">
        <v>294</v>
      </c>
      <c r="D37" s="91" t="s">
        <v>303</v>
      </c>
      <c r="E37" s="92"/>
      <c r="F37" s="87">
        <v>4610500</v>
      </c>
      <c r="G37" s="87">
        <f>20000000-3730182.75-F37</f>
        <v>11659317.25</v>
      </c>
      <c r="H37" s="10"/>
      <c r="L37" s="142">
        <v>7133653.25</v>
      </c>
    </row>
    <row r="38" ht="7.8" customHeight="1" spans="2:12">
      <c r="B38" s="5"/>
      <c r="C38" s="93"/>
      <c r="D38" s="94"/>
      <c r="E38" s="95"/>
      <c r="F38" s="96"/>
      <c r="G38" s="97"/>
      <c r="H38" s="10"/>
      <c r="L38" s="142"/>
    </row>
    <row r="39" ht="19.2" customHeight="1" spans="2:12">
      <c r="B39" s="5"/>
      <c r="C39" s="79" t="s">
        <v>20</v>
      </c>
      <c r="D39" s="98" t="s">
        <v>141</v>
      </c>
      <c r="E39" s="81"/>
      <c r="F39" s="82"/>
      <c r="G39" s="99"/>
      <c r="H39" s="10"/>
      <c r="L39" s="142">
        <v>14509106.75</v>
      </c>
    </row>
    <row r="40" ht="22.5" spans="2:12">
      <c r="B40" s="5"/>
      <c r="C40" s="93">
        <v>45063</v>
      </c>
      <c r="D40" s="151" t="s">
        <v>304</v>
      </c>
      <c r="E40" s="101"/>
      <c r="F40" s="102">
        <v>4610500</v>
      </c>
      <c r="G40" s="103"/>
      <c r="H40" s="10"/>
      <c r="L40" s="142">
        <v>14509106.75</v>
      </c>
    </row>
    <row r="41" ht="22.5" spans="2:12">
      <c r="B41" s="5"/>
      <c r="C41" s="104"/>
      <c r="D41" s="105"/>
      <c r="E41" s="106" t="s">
        <v>25</v>
      </c>
      <c r="F41" s="107">
        <f>F40-SUM(F36:F37)</f>
        <v>0</v>
      </c>
      <c r="G41" s="108"/>
      <c r="H41" s="10"/>
      <c r="L41" s="141">
        <f>F37+G37+3866346.75</f>
        <v>20136164</v>
      </c>
    </row>
    <row r="42" ht="10.2" customHeight="1" spans="2:8">
      <c r="B42" s="5"/>
      <c r="C42" s="109"/>
      <c r="D42" s="66"/>
      <c r="E42" s="66"/>
      <c r="F42" s="66"/>
      <c r="G42" s="110"/>
      <c r="H42" s="10"/>
    </row>
    <row r="43" ht="21.75" spans="2:12">
      <c r="B43" s="5"/>
      <c r="C43" s="111" t="s">
        <v>26</v>
      </c>
      <c r="D43" s="112"/>
      <c r="E43" s="112"/>
      <c r="F43" s="113">
        <f>F31+F40</f>
        <v>287715182.75</v>
      </c>
      <c r="G43" s="114">
        <f>G4-F43</f>
        <v>465415410.305</v>
      </c>
      <c r="H43" s="10"/>
      <c r="L43" s="143">
        <v>3064367.25</v>
      </c>
    </row>
    <row r="44" ht="21" spans="2:12">
      <c r="B44" s="5"/>
      <c r="C44" s="115" t="s">
        <v>27</v>
      </c>
      <c r="D44" s="116"/>
      <c r="E44" s="34"/>
      <c r="F44" s="117"/>
      <c r="G44" s="56"/>
      <c r="H44" s="10"/>
      <c r="L44" s="1">
        <f>5324450+3191882.75+6419300</f>
        <v>14935632.75</v>
      </c>
    </row>
    <row r="45" ht="22.5" spans="2:12">
      <c r="B45" s="5"/>
      <c r="C45" s="118" t="s">
        <v>28</v>
      </c>
      <c r="D45" s="119" t="s">
        <v>1</v>
      </c>
      <c r="E45" s="120">
        <f>F41</f>
        <v>0</v>
      </c>
      <c r="F45" s="117"/>
      <c r="G45" s="56"/>
      <c r="H45" s="10"/>
      <c r="L45" s="1">
        <v>11659317.25</v>
      </c>
    </row>
    <row r="46" ht="21" spans="2:8">
      <c r="B46" s="5"/>
      <c r="C46" s="118" t="s">
        <v>29</v>
      </c>
      <c r="D46" s="119" t="s">
        <v>1</v>
      </c>
      <c r="E46" s="121" t="s">
        <v>30</v>
      </c>
      <c r="F46" s="117"/>
      <c r="G46" s="56"/>
      <c r="H46" s="10"/>
    </row>
    <row r="47" ht="21" spans="2:8">
      <c r="B47" s="5"/>
      <c r="C47" s="122" t="s">
        <v>31</v>
      </c>
      <c r="D47" s="123" t="s">
        <v>1</v>
      </c>
      <c r="E47" s="124" t="s">
        <v>32</v>
      </c>
      <c r="F47" s="125" t="s">
        <v>50</v>
      </c>
      <c r="G47" s="126"/>
      <c r="H47" s="10"/>
    </row>
    <row r="48" ht="6" customHeight="1" spans="2:8">
      <c r="B48" s="127"/>
      <c r="C48" s="128"/>
      <c r="D48" s="128"/>
      <c r="E48" s="128"/>
      <c r="F48" s="128"/>
      <c r="G48" s="128"/>
      <c r="H48" s="129"/>
    </row>
    <row r="49" ht="19.5" spans="3:7">
      <c r="C49" s="130"/>
      <c r="D49" s="130"/>
      <c r="E49" s="130"/>
      <c r="F49" s="130"/>
      <c r="G49" s="130"/>
    </row>
    <row r="50" ht="19.5" spans="3:7">
      <c r="C50" s="131" t="s">
        <v>34</v>
      </c>
      <c r="D50" s="132"/>
      <c r="E50" s="133"/>
      <c r="F50" s="134"/>
      <c r="G50" s="130"/>
    </row>
    <row r="51" ht="19.5" spans="3:7">
      <c r="C51" s="131"/>
      <c r="D51" s="132"/>
      <c r="E51" s="133"/>
      <c r="F51" s="135" t="s">
        <v>35</v>
      </c>
      <c r="G51" s="136">
        <v>15000000</v>
      </c>
    </row>
    <row r="52" ht="19.5" spans="3:7">
      <c r="C52" s="131" t="s">
        <v>36</v>
      </c>
      <c r="D52" s="132"/>
      <c r="E52" s="133">
        <v>75313059305.5</v>
      </c>
      <c r="F52" s="137" t="s">
        <v>37</v>
      </c>
      <c r="G52" s="138"/>
    </row>
    <row r="53" ht="19.5" spans="3:7">
      <c r="C53" s="139">
        <v>0.01</v>
      </c>
      <c r="D53" s="132"/>
      <c r="E53" s="133">
        <f>E52*C53</f>
        <v>753130593.055</v>
      </c>
      <c r="F53" s="137" t="s">
        <v>38</v>
      </c>
      <c r="G53" s="140"/>
    </row>
    <row r="54" ht="19.5" spans="3:7">
      <c r="C54" s="130"/>
      <c r="D54" s="130"/>
      <c r="E54" s="130"/>
      <c r="F54" s="130"/>
      <c r="G54" s="130"/>
    </row>
    <row r="55" ht="19.5" spans="3:7">
      <c r="C55" s="130"/>
      <c r="D55" s="130"/>
      <c r="E55" s="130"/>
      <c r="F55" s="130"/>
      <c r="G55" s="130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9:E39"/>
    <mergeCell ref="D40:E40"/>
    <mergeCell ref="C43:E43"/>
    <mergeCell ref="F47:G47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5"/>
  <sheetViews>
    <sheetView view="pageBreakPreview" zoomScale="85" zoomScaleNormal="85" topLeftCell="A20" workbookViewId="0">
      <selection activeCell="D35" sqref="D35:E3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305</v>
      </c>
      <c r="F4" s="6" t="s">
        <v>3</v>
      </c>
      <c r="G4" s="9">
        <f>+E53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F43</f>
        <v>290137182.75</v>
      </c>
      <c r="H5" s="10"/>
    </row>
    <row r="6" ht="22.5" spans="2:8">
      <c r="B6" s="5"/>
      <c r="C6" s="11" t="s">
        <v>7</v>
      </c>
      <c r="D6" s="12" t="s">
        <v>1</v>
      </c>
      <c r="E6" s="15" t="s">
        <v>306</v>
      </c>
      <c r="F6" s="11" t="s">
        <v>9</v>
      </c>
      <c r="G6" s="14">
        <f>G4-G5</f>
        <v>462993410.305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0.614758468948809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8"/>
      <c r="H28" s="10"/>
    </row>
    <row r="29" ht="21" spans="2:12">
      <c r="B29" s="5"/>
      <c r="C29" s="51"/>
      <c r="D29" s="150" t="s">
        <v>309</v>
      </c>
      <c r="E29" s="53"/>
      <c r="F29" s="54"/>
      <c r="G29" s="60"/>
      <c r="H29" s="10"/>
      <c r="L29" s="1">
        <v>9237317.25</v>
      </c>
    </row>
    <row r="30" ht="5.4" customHeight="1" spans="2:8">
      <c r="B30" s="5"/>
      <c r="C30" s="61"/>
      <c r="D30" s="62"/>
      <c r="E30" s="62"/>
      <c r="F30" s="63"/>
      <c r="G30" s="64"/>
      <c r="H30" s="10"/>
    </row>
    <row r="31" ht="22.5" spans="2:8">
      <c r="B31" s="5"/>
      <c r="C31" s="65"/>
      <c r="D31" s="66"/>
      <c r="E31" s="67" t="s">
        <v>18</v>
      </c>
      <c r="F31" s="68">
        <f>SUM(F12:F29)</f>
        <v>287715182.75</v>
      </c>
      <c r="G31" s="69">
        <f>G4-F31</f>
        <v>465415410.305</v>
      </c>
      <c r="H31" s="10"/>
    </row>
    <row r="32" ht="5.4" customHeight="1" spans="2:8">
      <c r="B32" s="5"/>
      <c r="C32" s="70"/>
      <c r="D32" s="71"/>
      <c r="E32" s="72"/>
      <c r="F32" s="73"/>
      <c r="G32" s="74"/>
      <c r="H32" s="10"/>
    </row>
    <row r="33" ht="22.5" spans="2:8">
      <c r="B33" s="5"/>
      <c r="C33" s="75"/>
      <c r="D33" s="28" t="s">
        <v>132</v>
      </c>
      <c r="E33" s="76"/>
      <c r="F33" s="77">
        <v>0</v>
      </c>
      <c r="G33" s="78"/>
      <c r="H33" s="10"/>
    </row>
    <row r="34" ht="6" customHeight="1" spans="2:8">
      <c r="B34" s="5"/>
      <c r="C34" s="75"/>
      <c r="D34" s="28"/>
      <c r="E34" s="76"/>
      <c r="F34" s="77"/>
      <c r="G34" s="78"/>
      <c r="H34" s="10"/>
    </row>
    <row r="35" ht="21" spans="2:12">
      <c r="B35" s="5"/>
      <c r="C35" s="79" t="s">
        <v>20</v>
      </c>
      <c r="D35" s="80" t="s">
        <v>133</v>
      </c>
      <c r="E35" s="81"/>
      <c r="F35" s="82" t="s">
        <v>134</v>
      </c>
      <c r="G35" s="83" t="s">
        <v>135</v>
      </c>
      <c r="H35" s="10"/>
      <c r="L35" s="141">
        <v>10240882.75</v>
      </c>
    </row>
    <row r="36" ht="21" spans="2:12">
      <c r="B36" s="5"/>
      <c r="C36" s="79"/>
      <c r="D36" s="152" t="s">
        <v>302</v>
      </c>
      <c r="E36" s="85"/>
      <c r="F36" s="86">
        <v>0</v>
      </c>
      <c r="G36" s="87">
        <v>0</v>
      </c>
      <c r="H36" s="10"/>
      <c r="L36" s="1">
        <f>192500000+13000000</f>
        <v>205500000</v>
      </c>
    </row>
    <row r="37" ht="21" spans="2:12">
      <c r="B37" s="5"/>
      <c r="C37" s="93" t="s">
        <v>294</v>
      </c>
      <c r="D37" s="91" t="s">
        <v>310</v>
      </c>
      <c r="E37" s="92"/>
      <c r="F37" s="87">
        <v>2422000</v>
      </c>
      <c r="G37" s="87">
        <f>20000000-8340682.75-F37</f>
        <v>9237317.25</v>
      </c>
      <c r="H37" s="10"/>
      <c r="L37" s="142">
        <v>7133653.25</v>
      </c>
    </row>
    <row r="38" ht="7.8" customHeight="1" spans="2:12">
      <c r="B38" s="5"/>
      <c r="C38" s="93"/>
      <c r="D38" s="94"/>
      <c r="E38" s="95"/>
      <c r="F38" s="96"/>
      <c r="G38" s="97"/>
      <c r="H38" s="10"/>
      <c r="L38" s="142"/>
    </row>
    <row r="39" ht="19.2" customHeight="1" spans="2:12">
      <c r="B39" s="5"/>
      <c r="C39" s="79" t="s">
        <v>20</v>
      </c>
      <c r="D39" s="98" t="s">
        <v>141</v>
      </c>
      <c r="E39" s="81"/>
      <c r="F39" s="82"/>
      <c r="G39" s="99"/>
      <c r="H39" s="10"/>
      <c r="L39" s="142">
        <v>14509106.75</v>
      </c>
    </row>
    <row r="40" ht="22.5" spans="2:12">
      <c r="B40" s="5"/>
      <c r="C40" s="93">
        <v>45065</v>
      </c>
      <c r="D40" s="151" t="s">
        <v>311</v>
      </c>
      <c r="E40" s="101"/>
      <c r="F40" s="102">
        <v>2422000</v>
      </c>
      <c r="G40" s="103"/>
      <c r="H40" s="10"/>
      <c r="L40" s="142">
        <v>14509106.75</v>
      </c>
    </row>
    <row r="41" ht="22.5" spans="2:12">
      <c r="B41" s="5"/>
      <c r="C41" s="104"/>
      <c r="D41" s="105"/>
      <c r="E41" s="106" t="s">
        <v>25</v>
      </c>
      <c r="F41" s="107">
        <f>F40-SUM(F36:F37)</f>
        <v>0</v>
      </c>
      <c r="G41" s="108"/>
      <c r="H41" s="10"/>
      <c r="L41" s="141">
        <f>F37+G37+3866346.75</f>
        <v>15525664</v>
      </c>
    </row>
    <row r="42" ht="10.2" customHeight="1" spans="2:8">
      <c r="B42" s="5"/>
      <c r="C42" s="109"/>
      <c r="D42" s="66"/>
      <c r="E42" s="66"/>
      <c r="F42" s="66"/>
      <c r="G42" s="110"/>
      <c r="H42" s="10"/>
    </row>
    <row r="43" ht="21.75" spans="2:12">
      <c r="B43" s="5"/>
      <c r="C43" s="111" t="s">
        <v>26</v>
      </c>
      <c r="D43" s="112"/>
      <c r="E43" s="112"/>
      <c r="F43" s="113">
        <f>F31+F40</f>
        <v>290137182.75</v>
      </c>
      <c r="G43" s="114">
        <f>G4-F43</f>
        <v>462993410.305</v>
      </c>
      <c r="H43" s="10"/>
      <c r="L43" s="143">
        <v>3064367.25</v>
      </c>
    </row>
    <row r="44" ht="21" spans="2:12">
      <c r="B44" s="5"/>
      <c r="C44" s="115" t="s">
        <v>27</v>
      </c>
      <c r="D44" s="116"/>
      <c r="E44" s="34"/>
      <c r="F44" s="117"/>
      <c r="G44" s="56"/>
      <c r="H44" s="10"/>
      <c r="L44" s="1">
        <f>5324450+3191882.75+6419300</f>
        <v>14935632.75</v>
      </c>
    </row>
    <row r="45" ht="22.5" spans="2:12">
      <c r="B45" s="5"/>
      <c r="C45" s="118" t="s">
        <v>28</v>
      </c>
      <c r="D45" s="119" t="s">
        <v>1</v>
      </c>
      <c r="E45" s="120">
        <f>F41</f>
        <v>0</v>
      </c>
      <c r="F45" s="117"/>
      <c r="G45" s="56"/>
      <c r="H45" s="10"/>
      <c r="L45" s="1">
        <v>11659317.25</v>
      </c>
    </row>
    <row r="46" ht="21" spans="2:8">
      <c r="B46" s="5"/>
      <c r="C46" s="118" t="s">
        <v>29</v>
      </c>
      <c r="D46" s="119" t="s">
        <v>1</v>
      </c>
      <c r="E46" s="121" t="s">
        <v>30</v>
      </c>
      <c r="F46" s="117"/>
      <c r="G46" s="56"/>
      <c r="H46" s="10"/>
    </row>
    <row r="47" ht="21" spans="2:8">
      <c r="B47" s="5"/>
      <c r="C47" s="122" t="s">
        <v>31</v>
      </c>
      <c r="D47" s="123" t="s">
        <v>1</v>
      </c>
      <c r="E47" s="124" t="s">
        <v>32</v>
      </c>
      <c r="F47" s="125" t="s">
        <v>50</v>
      </c>
      <c r="G47" s="126"/>
      <c r="H47" s="10"/>
    </row>
    <row r="48" ht="6" customHeight="1" spans="2:8">
      <c r="B48" s="127"/>
      <c r="C48" s="128"/>
      <c r="D48" s="128"/>
      <c r="E48" s="128"/>
      <c r="F48" s="128"/>
      <c r="G48" s="128"/>
      <c r="H48" s="129"/>
    </row>
    <row r="49" ht="19.5" spans="3:7">
      <c r="C49" s="130"/>
      <c r="D49" s="130"/>
      <c r="E49" s="130"/>
      <c r="F49" s="130"/>
      <c r="G49" s="130"/>
    </row>
    <row r="50" ht="19.5" spans="3:7">
      <c r="C50" s="131" t="s">
        <v>34</v>
      </c>
      <c r="D50" s="132"/>
      <c r="E50" s="133"/>
      <c r="F50" s="134"/>
      <c r="G50" s="130"/>
    </row>
    <row r="51" ht="19.5" spans="3:7">
      <c r="C51" s="131"/>
      <c r="D51" s="132"/>
      <c r="E51" s="133"/>
      <c r="F51" s="135" t="s">
        <v>35</v>
      </c>
      <c r="G51" s="136">
        <v>15000000</v>
      </c>
    </row>
    <row r="52" ht="19.5" spans="3:7">
      <c r="C52" s="131" t="s">
        <v>36</v>
      </c>
      <c r="D52" s="132"/>
      <c r="E52" s="133">
        <v>75313059305.5</v>
      </c>
      <c r="F52" s="137" t="s">
        <v>37</v>
      </c>
      <c r="G52" s="138"/>
    </row>
    <row r="53" ht="19.5" spans="3:7">
      <c r="C53" s="139">
        <v>0.01</v>
      </c>
      <c r="D53" s="132"/>
      <c r="E53" s="133">
        <f>E52*C53</f>
        <v>753130593.055</v>
      </c>
      <c r="F53" s="137" t="s">
        <v>38</v>
      </c>
      <c r="G53" s="140"/>
    </row>
    <row r="54" ht="19.5" spans="3:7">
      <c r="C54" s="130"/>
      <c r="D54" s="130"/>
      <c r="E54" s="130"/>
      <c r="F54" s="130"/>
      <c r="G54" s="130"/>
    </row>
    <row r="55" ht="19.5" spans="3:7">
      <c r="C55" s="130"/>
      <c r="D55" s="130"/>
      <c r="E55" s="130"/>
      <c r="F55" s="130"/>
      <c r="G55" s="130"/>
    </row>
  </sheetData>
  <mergeCells count="2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36:E36"/>
    <mergeCell ref="D37:E37"/>
    <mergeCell ref="D39:E39"/>
    <mergeCell ref="D40:E40"/>
    <mergeCell ref="C43:E43"/>
    <mergeCell ref="F47:G47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workbookViewId="0">
      <selection activeCell="E34" sqref="E3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312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299952382.75</v>
      </c>
      <c r="H5" s="10"/>
    </row>
    <row r="6" ht="22.5" spans="2:8">
      <c r="B6" s="5"/>
      <c r="C6" s="11" t="s">
        <v>7</v>
      </c>
      <c r="D6" s="12" t="s">
        <v>1</v>
      </c>
      <c r="E6" s="15" t="s">
        <v>313</v>
      </c>
      <c r="F6" s="11" t="s">
        <v>9</v>
      </c>
      <c r="G6" s="14">
        <f>G4-G5</f>
        <v>453178210.305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0.601725935029046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314</v>
      </c>
      <c r="D30" s="48" t="s">
        <v>315</v>
      </c>
      <c r="E30" s="49"/>
      <c r="F30" s="50">
        <f>+LK.35!F40</f>
        <v>2422000</v>
      </c>
      <c r="G30" s="58"/>
      <c r="H30" s="10"/>
    </row>
    <row r="31" ht="21" spans="2:12">
      <c r="B31" s="5"/>
      <c r="C31" s="51"/>
      <c r="D31" s="150" t="s">
        <v>316</v>
      </c>
      <c r="E31" s="53"/>
      <c r="F31" s="54"/>
      <c r="G31" s="60"/>
      <c r="H31" s="10"/>
      <c r="L31" s="1">
        <v>9237317.25</v>
      </c>
    </row>
    <row r="32" ht="5.4" customHeight="1" spans="2:8">
      <c r="B32" s="5"/>
      <c r="C32" s="61"/>
      <c r="D32" s="62"/>
      <c r="E32" s="62"/>
      <c r="F32" s="63"/>
      <c r="G32" s="64"/>
      <c r="H32" s="10"/>
    </row>
    <row r="33" ht="22.5" spans="2:8">
      <c r="B33" s="5"/>
      <c r="C33" s="65"/>
      <c r="D33" s="66"/>
      <c r="E33" s="67" t="s">
        <v>18</v>
      </c>
      <c r="F33" s="68">
        <f>SUM(F12:F31)</f>
        <v>290137182.75</v>
      </c>
      <c r="G33" s="69">
        <f>G4-F33</f>
        <v>462993410.305</v>
      </c>
      <c r="H33" s="10"/>
    </row>
    <row r="34" ht="5.4" customHeight="1" spans="2:8">
      <c r="B34" s="5"/>
      <c r="C34" s="70"/>
      <c r="D34" s="71"/>
      <c r="E34" s="72"/>
      <c r="F34" s="73"/>
      <c r="G34" s="74"/>
      <c r="H34" s="10"/>
    </row>
    <row r="35" ht="22.5" spans="2:8">
      <c r="B35" s="5"/>
      <c r="C35" s="75"/>
      <c r="D35" s="28" t="s">
        <v>132</v>
      </c>
      <c r="E35" s="76"/>
      <c r="F35" s="77">
        <v>0</v>
      </c>
      <c r="G35" s="78"/>
      <c r="H35" s="10"/>
    </row>
    <row r="36" ht="6" customHeight="1" spans="2:8">
      <c r="B36" s="5"/>
      <c r="C36" s="75"/>
      <c r="D36" s="28"/>
      <c r="E36" s="76"/>
      <c r="F36" s="77"/>
      <c r="G36" s="78"/>
      <c r="H36" s="10"/>
    </row>
    <row r="37" ht="21" spans="2:12">
      <c r="B37" s="5"/>
      <c r="C37" s="79" t="s">
        <v>20</v>
      </c>
      <c r="D37" s="80" t="s">
        <v>133</v>
      </c>
      <c r="E37" s="81"/>
      <c r="F37" s="82" t="s">
        <v>134</v>
      </c>
      <c r="G37" s="83" t="s">
        <v>135</v>
      </c>
      <c r="H37" s="10"/>
      <c r="L37" s="141">
        <v>10240882.75</v>
      </c>
    </row>
    <row r="38" ht="21" spans="2:12">
      <c r="B38" s="5"/>
      <c r="C38" s="79"/>
      <c r="D38" s="152" t="s">
        <v>302</v>
      </c>
      <c r="E38" s="85"/>
      <c r="F38" s="86">
        <v>0</v>
      </c>
      <c r="G38" s="87">
        <v>0</v>
      </c>
      <c r="H38" s="10"/>
      <c r="L38" s="1">
        <v>10422117.25</v>
      </c>
    </row>
    <row r="39" ht="21" spans="2:10">
      <c r="B39" s="5"/>
      <c r="C39" s="93" t="s">
        <v>294</v>
      </c>
      <c r="D39" s="91" t="s">
        <v>317</v>
      </c>
      <c r="E39" s="92"/>
      <c r="F39" s="87">
        <v>9237317.25</v>
      </c>
      <c r="G39" s="87">
        <v>0</v>
      </c>
      <c r="H39" s="10"/>
      <c r="J39" s="153"/>
    </row>
    <row r="40" ht="21" spans="2:12">
      <c r="B40" s="5"/>
      <c r="C40" s="88" t="s">
        <v>318</v>
      </c>
      <c r="D40" s="91" t="s">
        <v>319</v>
      </c>
      <c r="E40" s="92"/>
      <c r="F40" s="87">
        <v>577882.75</v>
      </c>
      <c r="G40" s="87">
        <f>11000000-F40</f>
        <v>10422117.25</v>
      </c>
      <c r="H40" s="10"/>
      <c r="L40" s="142">
        <v>7133653.25</v>
      </c>
    </row>
    <row r="41" ht="7.8" customHeight="1" spans="2:12">
      <c r="B41" s="5"/>
      <c r="C41" s="93"/>
      <c r="D41" s="94"/>
      <c r="E41" s="95"/>
      <c r="F41" s="96"/>
      <c r="G41" s="97"/>
      <c r="H41" s="10"/>
      <c r="L41" s="142"/>
    </row>
    <row r="42" ht="19.2" customHeight="1" spans="2:12">
      <c r="B42" s="5"/>
      <c r="C42" s="79" t="s">
        <v>20</v>
      </c>
      <c r="D42" s="98" t="s">
        <v>141</v>
      </c>
      <c r="E42" s="81"/>
      <c r="F42" s="82"/>
      <c r="G42" s="99"/>
      <c r="H42" s="10"/>
      <c r="L42" s="142">
        <v>14509106.75</v>
      </c>
    </row>
    <row r="43" ht="22.5" spans="2:12">
      <c r="B43" s="5"/>
      <c r="C43" s="93">
        <v>45065</v>
      </c>
      <c r="D43" s="151" t="s">
        <v>320</v>
      </c>
      <c r="E43" s="101"/>
      <c r="F43" s="102">
        <v>9815200</v>
      </c>
      <c r="G43" s="103"/>
      <c r="H43" s="10"/>
      <c r="L43" s="142">
        <v>14509106.75</v>
      </c>
    </row>
    <row r="44" ht="22.5" spans="2:12">
      <c r="B44" s="5"/>
      <c r="C44" s="104"/>
      <c r="D44" s="105"/>
      <c r="E44" s="106" t="s">
        <v>25</v>
      </c>
      <c r="F44" s="107">
        <f>F43-SUM(F38:F40)</f>
        <v>0</v>
      </c>
      <c r="G44" s="108"/>
      <c r="H44" s="10"/>
      <c r="L44" s="141">
        <f>F40+G40+3866346.75</f>
        <v>14866346.75</v>
      </c>
    </row>
    <row r="45" ht="10.2" customHeight="1" spans="2:8">
      <c r="B45" s="5"/>
      <c r="C45" s="109"/>
      <c r="D45" s="66"/>
      <c r="E45" s="66"/>
      <c r="F45" s="66"/>
      <c r="G45" s="110"/>
      <c r="H45" s="10"/>
    </row>
    <row r="46" ht="21.75" spans="2:12">
      <c r="B46" s="5"/>
      <c r="C46" s="111" t="s">
        <v>26</v>
      </c>
      <c r="D46" s="112"/>
      <c r="E46" s="112"/>
      <c r="F46" s="113">
        <f>F33+F43</f>
        <v>299952382.75</v>
      </c>
      <c r="G46" s="114">
        <f>G4-F46</f>
        <v>453178210.305</v>
      </c>
      <c r="H46" s="10"/>
      <c r="L46" s="143">
        <v>3064367.25</v>
      </c>
    </row>
    <row r="47" ht="21" spans="2:12">
      <c r="B47" s="5"/>
      <c r="C47" s="115" t="s">
        <v>27</v>
      </c>
      <c r="D47" s="116"/>
      <c r="E47" s="34"/>
      <c r="F47" s="117"/>
      <c r="G47" s="56"/>
      <c r="H47" s="10"/>
      <c r="L47" s="1">
        <f>5324450+3191882.75+6419300</f>
        <v>14935632.75</v>
      </c>
    </row>
    <row r="48" ht="22.5" spans="2:12">
      <c r="B48" s="5"/>
      <c r="C48" s="118" t="s">
        <v>28</v>
      </c>
      <c r="D48" s="119" t="s">
        <v>1</v>
      </c>
      <c r="E48" s="120">
        <f>F44</f>
        <v>0</v>
      </c>
      <c r="F48" s="117"/>
      <c r="G48" s="56"/>
      <c r="H48" s="10"/>
      <c r="L48" s="1">
        <v>11659317.25</v>
      </c>
    </row>
    <row r="49" ht="21" spans="2:8">
      <c r="B49" s="5"/>
      <c r="C49" s="118" t="s">
        <v>29</v>
      </c>
      <c r="D49" s="119" t="s">
        <v>1</v>
      </c>
      <c r="E49" s="121" t="s">
        <v>30</v>
      </c>
      <c r="F49" s="117"/>
      <c r="G49" s="56"/>
      <c r="H49" s="10"/>
    </row>
    <row r="50" ht="21" spans="2:8">
      <c r="B50" s="5"/>
      <c r="C50" s="122" t="s">
        <v>31</v>
      </c>
      <c r="D50" s="123" t="s">
        <v>1</v>
      </c>
      <c r="E50" s="124" t="s">
        <v>32</v>
      </c>
      <c r="F50" s="125" t="s">
        <v>50</v>
      </c>
      <c r="G50" s="126"/>
      <c r="H50" s="10"/>
    </row>
    <row r="51" ht="6" customHeight="1" spans="2:8">
      <c r="B51" s="127"/>
      <c r="C51" s="128"/>
      <c r="D51" s="128"/>
      <c r="E51" s="128"/>
      <c r="F51" s="128"/>
      <c r="G51" s="128"/>
      <c r="H51" s="129"/>
    </row>
    <row r="52" ht="19.5" spans="3:7">
      <c r="C52" s="130"/>
      <c r="D52" s="130"/>
      <c r="E52" s="130"/>
      <c r="F52" s="130"/>
      <c r="G52" s="130"/>
    </row>
    <row r="53" ht="19.5" spans="3:7">
      <c r="C53" s="131" t="s">
        <v>34</v>
      </c>
      <c r="D53" s="132"/>
      <c r="E53" s="133"/>
      <c r="F53" s="134"/>
      <c r="G53" s="130"/>
    </row>
    <row r="54" ht="19.5" spans="3:7">
      <c r="C54" s="131"/>
      <c r="D54" s="132"/>
      <c r="E54" s="133"/>
      <c r="F54" s="135" t="s">
        <v>35</v>
      </c>
      <c r="G54" s="136">
        <v>15000000</v>
      </c>
    </row>
    <row r="55" ht="19.5" spans="3:7">
      <c r="C55" s="131" t="s">
        <v>36</v>
      </c>
      <c r="D55" s="132"/>
      <c r="E55" s="133">
        <v>75313059305.5</v>
      </c>
      <c r="F55" s="137" t="s">
        <v>37</v>
      </c>
      <c r="G55" s="138"/>
    </row>
    <row r="56" ht="19.5" spans="3:7">
      <c r="C56" s="139">
        <v>0.01</v>
      </c>
      <c r="D56" s="132"/>
      <c r="E56" s="133">
        <f>E55*C56</f>
        <v>753130593.055</v>
      </c>
      <c r="F56" s="137" t="s">
        <v>38</v>
      </c>
      <c r="G56" s="140"/>
    </row>
    <row r="57" ht="19.5" spans="3:7">
      <c r="C57" s="130"/>
      <c r="D57" s="130"/>
      <c r="E57" s="130"/>
      <c r="F57" s="130"/>
      <c r="G57" s="130"/>
    </row>
    <row r="58" ht="19.5" spans="3:7">
      <c r="C58" s="130"/>
      <c r="D58" s="130"/>
      <c r="E58" s="130"/>
      <c r="F58" s="130"/>
      <c r="G58" s="130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7"/>
  <sheetViews>
    <sheetView view="pageBreakPreview" zoomScale="85" zoomScaleNormal="85" topLeftCell="A20" workbookViewId="0">
      <selection activeCell="F27" sqref="F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321</v>
      </c>
      <c r="F4" s="6" t="s">
        <v>3</v>
      </c>
      <c r="G4" s="9">
        <f>+E55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F45</f>
        <v>308562782.75</v>
      </c>
      <c r="H5" s="10"/>
    </row>
    <row r="6" ht="22.5" spans="2:8">
      <c r="B6" s="5"/>
      <c r="C6" s="11" t="s">
        <v>7</v>
      </c>
      <c r="D6" s="12" t="s">
        <v>1</v>
      </c>
      <c r="E6" s="15" t="s">
        <v>322</v>
      </c>
      <c r="F6" s="11" t="s">
        <v>9</v>
      </c>
      <c r="G6" s="14">
        <f>G4-G5</f>
        <v>444567810.305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0.590293123668837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323</v>
      </c>
      <c r="D30" s="48" t="s">
        <v>324</v>
      </c>
      <c r="E30" s="49"/>
      <c r="F30" s="50">
        <f>+LK.35!F40+LK.36!F43</f>
        <v>12237200</v>
      </c>
      <c r="G30" s="58"/>
      <c r="H30" s="10"/>
    </row>
    <row r="31" ht="21" spans="2:12">
      <c r="B31" s="5"/>
      <c r="C31" s="51"/>
      <c r="D31" s="150" t="s">
        <v>325</v>
      </c>
      <c r="E31" s="53"/>
      <c r="F31" s="54"/>
      <c r="G31" s="60"/>
      <c r="H31" s="10"/>
      <c r="L31" s="1">
        <v>9237317.25</v>
      </c>
    </row>
    <row r="32" ht="5.4" customHeight="1" spans="2:8">
      <c r="B32" s="5"/>
      <c r="C32" s="61"/>
      <c r="D32" s="62"/>
      <c r="E32" s="62"/>
      <c r="F32" s="63"/>
      <c r="G32" s="64"/>
      <c r="H32" s="10"/>
    </row>
    <row r="33" ht="22.5" spans="2:8">
      <c r="B33" s="5"/>
      <c r="C33" s="65"/>
      <c r="D33" s="66"/>
      <c r="E33" s="67" t="s">
        <v>18</v>
      </c>
      <c r="F33" s="68">
        <f>SUM(F12:F31)</f>
        <v>299952382.75</v>
      </c>
      <c r="G33" s="69">
        <f>G4-F33</f>
        <v>453178210.305</v>
      </c>
      <c r="H33" s="10"/>
    </row>
    <row r="34" ht="5.4" customHeight="1" spans="2:8">
      <c r="B34" s="5"/>
      <c r="C34" s="70"/>
      <c r="D34" s="71"/>
      <c r="E34" s="72"/>
      <c r="F34" s="73"/>
      <c r="G34" s="74"/>
      <c r="H34" s="10"/>
    </row>
    <row r="35" ht="22.5" spans="2:8">
      <c r="B35" s="5"/>
      <c r="C35" s="75"/>
      <c r="D35" s="28" t="s">
        <v>132</v>
      </c>
      <c r="E35" s="76"/>
      <c r="F35" s="77">
        <v>0</v>
      </c>
      <c r="G35" s="78"/>
      <c r="H35" s="10"/>
    </row>
    <row r="36" ht="6" customHeight="1" spans="2:8">
      <c r="B36" s="5"/>
      <c r="C36" s="75"/>
      <c r="D36" s="28"/>
      <c r="E36" s="76"/>
      <c r="F36" s="77"/>
      <c r="G36" s="78"/>
      <c r="H36" s="10"/>
    </row>
    <row r="37" ht="21" spans="2:12">
      <c r="B37" s="5"/>
      <c r="C37" s="79" t="s">
        <v>20</v>
      </c>
      <c r="D37" s="80" t="s">
        <v>133</v>
      </c>
      <c r="E37" s="81"/>
      <c r="F37" s="82" t="s">
        <v>134</v>
      </c>
      <c r="G37" s="83" t="s">
        <v>135</v>
      </c>
      <c r="H37" s="10"/>
      <c r="L37" s="141">
        <v>10240882.75</v>
      </c>
    </row>
    <row r="38" ht="21" spans="2:12">
      <c r="B38" s="5"/>
      <c r="C38" s="79"/>
      <c r="D38" s="152" t="s">
        <v>326</v>
      </c>
      <c r="E38" s="85"/>
      <c r="F38" s="86">
        <v>0</v>
      </c>
      <c r="G38" s="87">
        <v>0</v>
      </c>
      <c r="H38" s="10"/>
      <c r="L38" s="1">
        <v>1811717.25</v>
      </c>
    </row>
    <row r="39" ht="21" spans="2:12">
      <c r="B39" s="5"/>
      <c r="C39" s="88" t="s">
        <v>318</v>
      </c>
      <c r="D39" s="91" t="s">
        <v>327</v>
      </c>
      <c r="E39" s="92"/>
      <c r="F39" s="87">
        <v>8610400</v>
      </c>
      <c r="G39" s="87">
        <f>11000000-577882.75-F39</f>
        <v>1811717.25</v>
      </c>
      <c r="H39" s="10"/>
      <c r="L39" s="142">
        <v>7133653.25</v>
      </c>
    </row>
    <row r="40" ht="7.8" customHeight="1" spans="2:12">
      <c r="B40" s="5"/>
      <c r="C40" s="93"/>
      <c r="D40" s="94"/>
      <c r="E40" s="95"/>
      <c r="F40" s="96"/>
      <c r="G40" s="97"/>
      <c r="H40" s="10"/>
      <c r="L40" s="142"/>
    </row>
    <row r="41" ht="19.2" customHeight="1" spans="2:12">
      <c r="B41" s="5"/>
      <c r="C41" s="79" t="s">
        <v>20</v>
      </c>
      <c r="D41" s="98" t="s">
        <v>141</v>
      </c>
      <c r="E41" s="81"/>
      <c r="F41" s="82"/>
      <c r="G41" s="99"/>
      <c r="H41" s="10"/>
      <c r="L41" s="142">
        <v>14509106.75</v>
      </c>
    </row>
    <row r="42" ht="22.5" spans="2:12">
      <c r="B42" s="5"/>
      <c r="C42" s="93">
        <v>45076</v>
      </c>
      <c r="D42" s="151" t="s">
        <v>328</v>
      </c>
      <c r="E42" s="101"/>
      <c r="F42" s="102">
        <v>8610400</v>
      </c>
      <c r="G42" s="103"/>
      <c r="H42" s="10"/>
      <c r="L42" s="142">
        <v>14509106.75</v>
      </c>
    </row>
    <row r="43" ht="22.5" spans="2:12">
      <c r="B43" s="5"/>
      <c r="C43" s="104"/>
      <c r="D43" s="105"/>
      <c r="E43" s="106" t="s">
        <v>25</v>
      </c>
      <c r="F43" s="107">
        <f>F42-SUM(F38:F39)</f>
        <v>0</v>
      </c>
      <c r="G43" s="108"/>
      <c r="H43" s="10"/>
      <c r="L43" s="141">
        <f>F39+G39+3866346.75</f>
        <v>14288464</v>
      </c>
    </row>
    <row r="44" ht="10.2" customHeight="1" spans="2:8">
      <c r="B44" s="5"/>
      <c r="C44" s="109"/>
      <c r="D44" s="66"/>
      <c r="E44" s="66"/>
      <c r="F44" s="66"/>
      <c r="G44" s="110"/>
      <c r="H44" s="10"/>
    </row>
    <row r="45" ht="21.75" spans="2:12">
      <c r="B45" s="5"/>
      <c r="C45" s="111" t="s">
        <v>26</v>
      </c>
      <c r="D45" s="112"/>
      <c r="E45" s="112"/>
      <c r="F45" s="113">
        <f>F33+F42</f>
        <v>308562782.75</v>
      </c>
      <c r="G45" s="114">
        <f>G4-F45</f>
        <v>444567810.305</v>
      </c>
      <c r="H45" s="10"/>
      <c r="L45" s="143">
        <v>3064367.25</v>
      </c>
    </row>
    <row r="46" ht="21" spans="2:12">
      <c r="B46" s="5"/>
      <c r="C46" s="115" t="s">
        <v>27</v>
      </c>
      <c r="D46" s="116"/>
      <c r="E46" s="34"/>
      <c r="F46" s="117"/>
      <c r="G46" s="56"/>
      <c r="H46" s="10"/>
      <c r="L46" s="1">
        <f>5324450+3191882.75+6419300</f>
        <v>14935632.75</v>
      </c>
    </row>
    <row r="47" ht="22.5" spans="2:12">
      <c r="B47" s="5"/>
      <c r="C47" s="118" t="s">
        <v>28</v>
      </c>
      <c r="D47" s="119" t="s">
        <v>1</v>
      </c>
      <c r="E47" s="120">
        <f>F43</f>
        <v>0</v>
      </c>
      <c r="F47" s="117"/>
      <c r="G47" s="56"/>
      <c r="H47" s="10"/>
      <c r="L47" s="1">
        <v>11659317.25</v>
      </c>
    </row>
    <row r="48" ht="21" spans="2:8">
      <c r="B48" s="5"/>
      <c r="C48" s="118" t="s">
        <v>29</v>
      </c>
      <c r="D48" s="119" t="s">
        <v>1</v>
      </c>
      <c r="E48" s="121" t="s">
        <v>30</v>
      </c>
      <c r="F48" s="117"/>
      <c r="G48" s="56"/>
      <c r="H48" s="10"/>
    </row>
    <row r="49" ht="21" spans="2:8">
      <c r="B49" s="5"/>
      <c r="C49" s="122" t="s">
        <v>31</v>
      </c>
      <c r="D49" s="123" t="s">
        <v>1</v>
      </c>
      <c r="E49" s="124" t="s">
        <v>32</v>
      </c>
      <c r="F49" s="125" t="s">
        <v>50</v>
      </c>
      <c r="G49" s="126"/>
      <c r="H49" s="10"/>
    </row>
    <row r="50" ht="6" customHeight="1" spans="2:8">
      <c r="B50" s="127"/>
      <c r="C50" s="128"/>
      <c r="D50" s="128"/>
      <c r="E50" s="128"/>
      <c r="F50" s="128"/>
      <c r="G50" s="128"/>
      <c r="H50" s="129"/>
    </row>
    <row r="51" ht="19.5" spans="3:7">
      <c r="C51" s="130"/>
      <c r="D51" s="130"/>
      <c r="E51" s="130"/>
      <c r="F51" s="130"/>
      <c r="G51" s="130"/>
    </row>
    <row r="52" ht="19.5" spans="3:7">
      <c r="C52" s="131" t="s">
        <v>34</v>
      </c>
      <c r="D52" s="132"/>
      <c r="E52" s="133"/>
      <c r="F52" s="134"/>
      <c r="G52" s="130"/>
    </row>
    <row r="53" ht="19.5" spans="3:7">
      <c r="C53" s="131"/>
      <c r="D53" s="132"/>
      <c r="E53" s="133"/>
      <c r="F53" s="135" t="s">
        <v>35</v>
      </c>
      <c r="G53" s="136">
        <v>15000000</v>
      </c>
    </row>
    <row r="54" ht="19.5" spans="3:7">
      <c r="C54" s="131" t="s">
        <v>36</v>
      </c>
      <c r="D54" s="132"/>
      <c r="E54" s="133">
        <v>75313059305.5</v>
      </c>
      <c r="F54" s="137" t="s">
        <v>37</v>
      </c>
      <c r="G54" s="138"/>
    </row>
    <row r="55" ht="19.5" spans="3:7">
      <c r="C55" s="139">
        <v>0.01</v>
      </c>
      <c r="D55" s="132"/>
      <c r="E55" s="133">
        <f>E54*C55</f>
        <v>753130593.055</v>
      </c>
      <c r="F55" s="137" t="s">
        <v>38</v>
      </c>
      <c r="G55" s="140"/>
    </row>
    <row r="56" ht="19.5" spans="3:7">
      <c r="C56" s="130"/>
      <c r="D56" s="130"/>
      <c r="E56" s="130"/>
      <c r="F56" s="130"/>
      <c r="G56" s="130"/>
    </row>
    <row r="57" ht="19.5" spans="3:7">
      <c r="C57" s="130"/>
      <c r="D57" s="130"/>
      <c r="E57" s="130"/>
      <c r="F57" s="130"/>
      <c r="G57" s="130"/>
    </row>
  </sheetData>
  <mergeCells count="3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1:E41"/>
    <mergeCell ref="D42:E42"/>
    <mergeCell ref="C45:E45"/>
    <mergeCell ref="F49:G49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topLeftCell="A23" workbookViewId="0">
      <selection activeCell="L38" sqref="L38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329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313536582.75</v>
      </c>
      <c r="H5" s="10"/>
    </row>
    <row r="6" ht="22.5" spans="2:8">
      <c r="B6" s="5"/>
      <c r="C6" s="11" t="s">
        <v>7</v>
      </c>
      <c r="D6" s="12" t="s">
        <v>1</v>
      </c>
      <c r="E6" s="15" t="s">
        <v>330</v>
      </c>
      <c r="F6" s="11" t="s">
        <v>9</v>
      </c>
      <c r="G6" s="14">
        <f>G4-G5</f>
        <v>439594010.305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0.583688956946803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331</v>
      </c>
      <c r="D30" s="48" t="s">
        <v>332</v>
      </c>
      <c r="E30" s="49"/>
      <c r="F30" s="50">
        <f>+LK.35!F40+LK.36!F43+LK.37!F42</f>
        <v>20847600</v>
      </c>
      <c r="G30" s="58"/>
      <c r="H30" s="10"/>
    </row>
    <row r="31" ht="21" spans="2:12">
      <c r="B31" s="5"/>
      <c r="C31" s="51"/>
      <c r="D31" s="150" t="s">
        <v>333</v>
      </c>
      <c r="E31" s="53"/>
      <c r="F31" s="54"/>
      <c r="G31" s="60"/>
      <c r="H31" s="10"/>
      <c r="L31" s="1">
        <v>9237317.25</v>
      </c>
    </row>
    <row r="32" ht="5.4" customHeight="1" spans="2:8">
      <c r="B32" s="5"/>
      <c r="C32" s="61"/>
      <c r="D32" s="62"/>
      <c r="E32" s="62"/>
      <c r="F32" s="63"/>
      <c r="G32" s="64"/>
      <c r="H32" s="10"/>
    </row>
    <row r="33" ht="22.5" spans="2:8">
      <c r="B33" s="5"/>
      <c r="C33" s="65"/>
      <c r="D33" s="66"/>
      <c r="E33" s="67" t="s">
        <v>18</v>
      </c>
      <c r="F33" s="68">
        <f>SUM(F12:F31)</f>
        <v>308562782.75</v>
      </c>
      <c r="G33" s="69">
        <f>G4-F33</f>
        <v>444567810.305</v>
      </c>
      <c r="H33" s="10"/>
    </row>
    <row r="34" ht="5.4" customHeight="1" spans="2:8">
      <c r="B34" s="5"/>
      <c r="C34" s="70"/>
      <c r="D34" s="71"/>
      <c r="E34" s="72"/>
      <c r="F34" s="73"/>
      <c r="G34" s="74"/>
      <c r="H34" s="10"/>
    </row>
    <row r="35" ht="22.5" spans="2:8">
      <c r="B35" s="5"/>
      <c r="C35" s="75"/>
      <c r="D35" s="28" t="s">
        <v>132</v>
      </c>
      <c r="E35" s="76"/>
      <c r="F35" s="77">
        <v>0</v>
      </c>
      <c r="G35" s="78"/>
      <c r="H35" s="10"/>
    </row>
    <row r="36" ht="6" customHeight="1" spans="2:8">
      <c r="B36" s="5"/>
      <c r="C36" s="75"/>
      <c r="D36" s="28"/>
      <c r="E36" s="76"/>
      <c r="F36" s="77"/>
      <c r="G36" s="78"/>
      <c r="H36" s="10"/>
    </row>
    <row r="37" ht="21" spans="2:12">
      <c r="B37" s="5"/>
      <c r="C37" s="79" t="s">
        <v>20</v>
      </c>
      <c r="D37" s="80" t="s">
        <v>133</v>
      </c>
      <c r="E37" s="81"/>
      <c r="F37" s="82" t="s">
        <v>134</v>
      </c>
      <c r="G37" s="83" t="s">
        <v>135</v>
      </c>
      <c r="H37" s="10"/>
      <c r="L37" s="141">
        <v>10240882.75</v>
      </c>
    </row>
    <row r="38" ht="21" spans="2:12">
      <c r="B38" s="5"/>
      <c r="C38" s="79"/>
      <c r="D38" s="152" t="s">
        <v>326</v>
      </c>
      <c r="E38" s="85"/>
      <c r="F38" s="86">
        <v>0</v>
      </c>
      <c r="G38" s="87">
        <v>0</v>
      </c>
      <c r="H38" s="10"/>
      <c r="L38" s="1">
        <v>5837917.25</v>
      </c>
    </row>
    <row r="39" ht="21" spans="2:8">
      <c r="B39" s="5"/>
      <c r="C39" s="88" t="s">
        <v>318</v>
      </c>
      <c r="D39" s="91" t="s">
        <v>334</v>
      </c>
      <c r="E39" s="92"/>
      <c r="F39" s="87">
        <v>1811717.25</v>
      </c>
      <c r="G39" s="87">
        <v>0</v>
      </c>
      <c r="H39" s="10"/>
    </row>
    <row r="40" ht="21" spans="2:12">
      <c r="B40" s="5"/>
      <c r="C40" s="88" t="s">
        <v>335</v>
      </c>
      <c r="D40" s="91" t="s">
        <v>336</v>
      </c>
      <c r="E40" s="92"/>
      <c r="F40" s="87">
        <v>3162082.75</v>
      </c>
      <c r="G40" s="87">
        <f>9000000-F40</f>
        <v>5837917.25</v>
      </c>
      <c r="H40" s="10"/>
      <c r="L40" s="142">
        <v>7133653.25</v>
      </c>
    </row>
    <row r="41" ht="7.8" customHeight="1" spans="2:12">
      <c r="B41" s="5"/>
      <c r="C41" s="93"/>
      <c r="D41" s="94"/>
      <c r="E41" s="95"/>
      <c r="F41" s="96"/>
      <c r="G41" s="97"/>
      <c r="H41" s="10"/>
      <c r="L41" s="142"/>
    </row>
    <row r="42" ht="19.2" customHeight="1" spans="2:12">
      <c r="B42" s="5"/>
      <c r="C42" s="79" t="s">
        <v>20</v>
      </c>
      <c r="D42" s="98" t="s">
        <v>141</v>
      </c>
      <c r="E42" s="81"/>
      <c r="F42" s="82"/>
      <c r="G42" s="99"/>
      <c r="H42" s="10"/>
      <c r="L42" s="142">
        <v>14509106.75</v>
      </c>
    </row>
    <row r="43" ht="22.5" spans="2:12">
      <c r="B43" s="5"/>
      <c r="C43" s="93">
        <v>45076</v>
      </c>
      <c r="D43" s="151" t="s">
        <v>337</v>
      </c>
      <c r="E43" s="101"/>
      <c r="F43" s="102">
        <v>4973800</v>
      </c>
      <c r="G43" s="103"/>
      <c r="H43" s="10"/>
      <c r="L43" s="142">
        <v>14509106.75</v>
      </c>
    </row>
    <row r="44" ht="22.5" spans="2:12">
      <c r="B44" s="5"/>
      <c r="C44" s="104"/>
      <c r="D44" s="105"/>
      <c r="E44" s="106" t="s">
        <v>25</v>
      </c>
      <c r="F44" s="107">
        <f>F43-SUM(F38:F40)</f>
        <v>0</v>
      </c>
      <c r="G44" s="108"/>
      <c r="H44" s="10"/>
      <c r="L44" s="141">
        <f>F40+G40+3866346.75</f>
        <v>12866346.75</v>
      </c>
    </row>
    <row r="45" ht="10.2" customHeight="1" spans="2:8">
      <c r="B45" s="5"/>
      <c r="C45" s="109"/>
      <c r="D45" s="66"/>
      <c r="E45" s="66"/>
      <c r="F45" s="66"/>
      <c r="G45" s="110"/>
      <c r="H45" s="10"/>
    </row>
    <row r="46" ht="21.75" spans="2:12">
      <c r="B46" s="5"/>
      <c r="C46" s="111" t="s">
        <v>26</v>
      </c>
      <c r="D46" s="112"/>
      <c r="E46" s="112"/>
      <c r="F46" s="113">
        <f>F33+F43</f>
        <v>313536582.75</v>
      </c>
      <c r="G46" s="114">
        <f>G4-F46</f>
        <v>439594010.305</v>
      </c>
      <c r="H46" s="10"/>
      <c r="L46" s="143">
        <v>3064367.25</v>
      </c>
    </row>
    <row r="47" ht="21" spans="2:12">
      <c r="B47" s="5"/>
      <c r="C47" s="115" t="s">
        <v>27</v>
      </c>
      <c r="D47" s="116"/>
      <c r="E47" s="34"/>
      <c r="F47" s="117"/>
      <c r="G47" s="56"/>
      <c r="H47" s="10"/>
      <c r="L47" s="1">
        <f>5324450+3191882.75+6419300</f>
        <v>14935632.75</v>
      </c>
    </row>
    <row r="48" ht="22.5" spans="2:12">
      <c r="B48" s="5"/>
      <c r="C48" s="118" t="s">
        <v>28</v>
      </c>
      <c r="D48" s="119" t="s">
        <v>1</v>
      </c>
      <c r="E48" s="120">
        <f>F44</f>
        <v>0</v>
      </c>
      <c r="F48" s="117"/>
      <c r="G48" s="56"/>
      <c r="H48" s="10"/>
      <c r="L48" s="1">
        <v>11659317.25</v>
      </c>
    </row>
    <row r="49" ht="21" spans="2:8">
      <c r="B49" s="5"/>
      <c r="C49" s="118" t="s">
        <v>29</v>
      </c>
      <c r="D49" s="119" t="s">
        <v>1</v>
      </c>
      <c r="E49" s="121" t="s">
        <v>30</v>
      </c>
      <c r="F49" s="117"/>
      <c r="G49" s="56"/>
      <c r="H49" s="10"/>
    </row>
    <row r="50" ht="21" spans="2:8">
      <c r="B50" s="5"/>
      <c r="C50" s="122" t="s">
        <v>31</v>
      </c>
      <c r="D50" s="123" t="s">
        <v>1</v>
      </c>
      <c r="E50" s="124" t="s">
        <v>32</v>
      </c>
      <c r="F50" s="125" t="s">
        <v>50</v>
      </c>
      <c r="G50" s="126"/>
      <c r="H50" s="10"/>
    </row>
    <row r="51" ht="6" customHeight="1" spans="2:8">
      <c r="B51" s="127"/>
      <c r="C51" s="128"/>
      <c r="D51" s="128"/>
      <c r="E51" s="128"/>
      <c r="F51" s="128"/>
      <c r="G51" s="128"/>
      <c r="H51" s="129"/>
    </row>
    <row r="52" ht="19.5" spans="3:7">
      <c r="C52" s="130"/>
      <c r="D52" s="130"/>
      <c r="E52" s="130"/>
      <c r="F52" s="130"/>
      <c r="G52" s="130"/>
    </row>
    <row r="53" ht="19.5" spans="3:7">
      <c r="C53" s="131" t="s">
        <v>34</v>
      </c>
      <c r="D53" s="132"/>
      <c r="E53" s="133"/>
      <c r="F53" s="134"/>
      <c r="G53" s="130"/>
    </row>
    <row r="54" ht="19.5" spans="3:7">
      <c r="C54" s="131"/>
      <c r="D54" s="132"/>
      <c r="E54" s="133"/>
      <c r="F54" s="135" t="s">
        <v>35</v>
      </c>
      <c r="G54" s="136">
        <v>15000000</v>
      </c>
    </row>
    <row r="55" ht="19.5" spans="3:7">
      <c r="C55" s="131" t="s">
        <v>36</v>
      </c>
      <c r="D55" s="132"/>
      <c r="E55" s="133">
        <v>75313059305.5</v>
      </c>
      <c r="F55" s="137" t="s">
        <v>37</v>
      </c>
      <c r="G55" s="138"/>
    </row>
    <row r="56" ht="19.5" spans="3:7">
      <c r="C56" s="139">
        <v>0.01</v>
      </c>
      <c r="D56" s="132"/>
      <c r="E56" s="133">
        <f>E55*C56</f>
        <v>753130593.055</v>
      </c>
      <c r="F56" s="137" t="s">
        <v>38</v>
      </c>
      <c r="G56" s="140"/>
    </row>
    <row r="57" ht="19.5" spans="3:7">
      <c r="C57" s="130"/>
      <c r="D57" s="130"/>
      <c r="E57" s="130"/>
      <c r="F57" s="130"/>
      <c r="G57" s="130"/>
    </row>
    <row r="58" ht="19.5" spans="3:7">
      <c r="C58" s="130"/>
      <c r="D58" s="130"/>
      <c r="E58" s="130"/>
      <c r="F58" s="130"/>
      <c r="G58" s="130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58"/>
  <sheetViews>
    <sheetView view="pageBreakPreview" zoomScale="85" zoomScaleNormal="85" topLeftCell="A29" workbookViewId="0">
      <selection activeCell="I39" sqref="I3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338</v>
      </c>
      <c r="F4" s="6" t="s">
        <v>3</v>
      </c>
      <c r="G4" s="9">
        <f>+E56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F46</f>
        <v>317615932.75</v>
      </c>
      <c r="H5" s="10"/>
    </row>
    <row r="6" ht="22.5" spans="2:8">
      <c r="B6" s="5"/>
      <c r="C6" s="11" t="s">
        <v>7</v>
      </c>
      <c r="D6" s="12" t="s">
        <v>1</v>
      </c>
      <c r="E6" s="15" t="s">
        <v>339</v>
      </c>
      <c r="F6" s="11" t="s">
        <v>9</v>
      </c>
      <c r="G6" s="14">
        <f>G4-G5</f>
        <v>435514660.305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0.578272432857066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8"/>
      <c r="H30" s="10"/>
    </row>
    <row r="31" ht="21" spans="2:12">
      <c r="B31" s="5"/>
      <c r="C31" s="51"/>
      <c r="D31" s="150" t="s">
        <v>342</v>
      </c>
      <c r="E31" s="53"/>
      <c r="F31" s="54"/>
      <c r="G31" s="60"/>
      <c r="H31" s="10"/>
      <c r="L31" s="1">
        <v>9237317.25</v>
      </c>
    </row>
    <row r="32" ht="5.4" customHeight="1" spans="2:8">
      <c r="B32" s="5"/>
      <c r="C32" s="61"/>
      <c r="D32" s="62"/>
      <c r="E32" s="62"/>
      <c r="F32" s="63"/>
      <c r="G32" s="64"/>
      <c r="H32" s="10"/>
    </row>
    <row r="33" ht="22.5" spans="2:8">
      <c r="B33" s="5"/>
      <c r="C33" s="65"/>
      <c r="D33" s="66"/>
      <c r="E33" s="67" t="s">
        <v>18</v>
      </c>
      <c r="F33" s="68">
        <f>SUM(F12:F31)</f>
        <v>313536582.75</v>
      </c>
      <c r="G33" s="69">
        <f>G4-F33</f>
        <v>439594010.305</v>
      </c>
      <c r="H33" s="10"/>
    </row>
    <row r="34" ht="5.4" customHeight="1" spans="2:8">
      <c r="B34" s="5"/>
      <c r="C34" s="70"/>
      <c r="D34" s="71"/>
      <c r="E34" s="72"/>
      <c r="F34" s="73"/>
      <c r="G34" s="74"/>
      <c r="H34" s="10"/>
    </row>
    <row r="35" ht="22.5" spans="2:12">
      <c r="B35" s="5"/>
      <c r="C35" s="75"/>
      <c r="D35" s="28" t="s">
        <v>132</v>
      </c>
      <c r="E35" s="76"/>
      <c r="F35" s="77">
        <v>0</v>
      </c>
      <c r="G35" s="78"/>
      <c r="H35" s="10"/>
      <c r="L35" s="1">
        <f>282+11</f>
        <v>293</v>
      </c>
    </row>
    <row r="36" ht="6" customHeight="1" spans="2:8">
      <c r="B36" s="5"/>
      <c r="C36" s="75"/>
      <c r="D36" s="28"/>
      <c r="E36" s="76"/>
      <c r="F36" s="77"/>
      <c r="G36" s="78"/>
      <c r="H36" s="10"/>
    </row>
    <row r="37" ht="21" spans="2:12">
      <c r="B37" s="5"/>
      <c r="C37" s="79" t="s">
        <v>20</v>
      </c>
      <c r="D37" s="80" t="s">
        <v>133</v>
      </c>
      <c r="E37" s="81"/>
      <c r="F37" s="82" t="s">
        <v>134</v>
      </c>
      <c r="G37" s="83" t="s">
        <v>135</v>
      </c>
      <c r="H37" s="10"/>
      <c r="L37" s="141">
        <v>10240882.75</v>
      </c>
    </row>
    <row r="38" ht="21" spans="2:12">
      <c r="B38" s="5"/>
      <c r="C38" s="79"/>
      <c r="D38" s="152" t="s">
        <v>343</v>
      </c>
      <c r="E38" s="85"/>
      <c r="F38" s="86">
        <v>0</v>
      </c>
      <c r="G38" s="87">
        <v>0</v>
      </c>
      <c r="H38" s="10"/>
      <c r="L38" s="1">
        <v>5837917.25</v>
      </c>
    </row>
    <row r="39" ht="19.8" customHeight="1" spans="2:8">
      <c r="B39" s="5"/>
      <c r="C39" s="88" t="s">
        <v>335</v>
      </c>
      <c r="D39" s="91" t="s">
        <v>344</v>
      </c>
      <c r="E39" s="92"/>
      <c r="F39" s="87">
        <v>4079350</v>
      </c>
      <c r="G39" s="87">
        <f>9000000-3162082.75-F39</f>
        <v>1758567.25</v>
      </c>
      <c r="H39" s="10"/>
    </row>
    <row r="40" ht="21" spans="2:12">
      <c r="B40" s="5"/>
      <c r="C40" s="88"/>
      <c r="D40" s="91"/>
      <c r="E40" s="92"/>
      <c r="F40" s="87"/>
      <c r="G40" s="87"/>
      <c r="H40" s="10"/>
      <c r="L40" s="142">
        <v>7133653.25</v>
      </c>
    </row>
    <row r="41" ht="7.8" customHeight="1" spans="2:12">
      <c r="B41" s="5"/>
      <c r="C41" s="93"/>
      <c r="D41" s="94"/>
      <c r="E41" s="95"/>
      <c r="F41" s="96"/>
      <c r="G41" s="97"/>
      <c r="H41" s="10"/>
      <c r="L41" s="142"/>
    </row>
    <row r="42" ht="19.2" customHeight="1" spans="2:12">
      <c r="B42" s="5"/>
      <c r="C42" s="79" t="s">
        <v>20</v>
      </c>
      <c r="D42" s="98" t="s">
        <v>141</v>
      </c>
      <c r="E42" s="81"/>
      <c r="F42" s="82"/>
      <c r="G42" s="99"/>
      <c r="H42" s="10"/>
      <c r="L42" s="142">
        <v>14509106.75</v>
      </c>
    </row>
    <row r="43" ht="22.5" spans="2:12">
      <c r="B43" s="5"/>
      <c r="C43" s="93">
        <v>45099</v>
      </c>
      <c r="D43" s="151" t="s">
        <v>345</v>
      </c>
      <c r="E43" s="101"/>
      <c r="F43" s="102">
        <v>4079350</v>
      </c>
      <c r="G43" s="103"/>
      <c r="H43" s="10"/>
      <c r="L43" s="142">
        <v>14509106.75</v>
      </c>
    </row>
    <row r="44" ht="22.5" spans="2:12">
      <c r="B44" s="5"/>
      <c r="C44" s="104"/>
      <c r="D44" s="105"/>
      <c r="E44" s="106" t="s">
        <v>25</v>
      </c>
      <c r="F44" s="107">
        <f>F43-SUM(F38:F40)</f>
        <v>0</v>
      </c>
      <c r="G44" s="108"/>
      <c r="H44" s="10"/>
      <c r="L44" s="141">
        <f>F40+G40+3866346.75</f>
        <v>3866346.75</v>
      </c>
    </row>
    <row r="45" ht="10.2" customHeight="1" spans="2:8">
      <c r="B45" s="5"/>
      <c r="C45" s="109"/>
      <c r="D45" s="66"/>
      <c r="E45" s="66"/>
      <c r="F45" s="66"/>
      <c r="G45" s="110"/>
      <c r="H45" s="10"/>
    </row>
    <row r="46" ht="21.75" spans="2:12">
      <c r="B46" s="5"/>
      <c r="C46" s="111" t="s">
        <v>26</v>
      </c>
      <c r="D46" s="112"/>
      <c r="E46" s="112"/>
      <c r="F46" s="113">
        <f>F33+F43</f>
        <v>317615932.75</v>
      </c>
      <c r="G46" s="114">
        <f>G4-F46</f>
        <v>435514660.305</v>
      </c>
      <c r="H46" s="10"/>
      <c r="L46" s="143">
        <v>3064367.25</v>
      </c>
    </row>
    <row r="47" ht="21" spans="2:12">
      <c r="B47" s="5"/>
      <c r="C47" s="115" t="s">
        <v>27</v>
      </c>
      <c r="D47" s="116"/>
      <c r="E47" s="34"/>
      <c r="F47" s="117"/>
      <c r="G47" s="56"/>
      <c r="H47" s="10"/>
      <c r="L47" s="1">
        <f>5324450+3191882.75+6419300</f>
        <v>14935632.75</v>
      </c>
    </row>
    <row r="48" ht="22.5" spans="2:12">
      <c r="B48" s="5"/>
      <c r="C48" s="118" t="s">
        <v>28</v>
      </c>
      <c r="D48" s="119" t="s">
        <v>1</v>
      </c>
      <c r="E48" s="120">
        <f>F44</f>
        <v>0</v>
      </c>
      <c r="F48" s="117"/>
      <c r="G48" s="56"/>
      <c r="H48" s="10"/>
      <c r="L48" s="1">
        <v>11659317.25</v>
      </c>
    </row>
    <row r="49" ht="21" spans="2:8">
      <c r="B49" s="5"/>
      <c r="C49" s="118" t="s">
        <v>29</v>
      </c>
      <c r="D49" s="119" t="s">
        <v>1</v>
      </c>
      <c r="E49" s="121" t="s">
        <v>30</v>
      </c>
      <c r="F49" s="117"/>
      <c r="G49" s="56"/>
      <c r="H49" s="10"/>
    </row>
    <row r="50" ht="21" spans="2:8">
      <c r="B50" s="5"/>
      <c r="C50" s="122" t="s">
        <v>31</v>
      </c>
      <c r="D50" s="123" t="s">
        <v>1</v>
      </c>
      <c r="E50" s="124" t="s">
        <v>32</v>
      </c>
      <c r="F50" s="125" t="s">
        <v>50</v>
      </c>
      <c r="G50" s="126"/>
      <c r="H50" s="10"/>
    </row>
    <row r="51" ht="6" customHeight="1" spans="2:8">
      <c r="B51" s="127"/>
      <c r="C51" s="128"/>
      <c r="D51" s="128"/>
      <c r="E51" s="128"/>
      <c r="F51" s="128"/>
      <c r="G51" s="128"/>
      <c r="H51" s="129"/>
    </row>
    <row r="52" ht="19.5" spans="3:7">
      <c r="C52" s="130"/>
      <c r="D52" s="130"/>
      <c r="E52" s="130"/>
      <c r="F52" s="130"/>
      <c r="G52" s="130"/>
    </row>
    <row r="53" ht="19.5" spans="3:7">
      <c r="C53" s="131" t="s">
        <v>34</v>
      </c>
      <c r="D53" s="132"/>
      <c r="E53" s="133"/>
      <c r="F53" s="134"/>
      <c r="G53" s="130"/>
    </row>
    <row r="54" ht="19.5" spans="3:7">
      <c r="C54" s="131"/>
      <c r="D54" s="132"/>
      <c r="E54" s="133"/>
      <c r="F54" s="135" t="s">
        <v>35</v>
      </c>
      <c r="G54" s="136">
        <v>15000000</v>
      </c>
    </row>
    <row r="55" ht="19.5" spans="3:7">
      <c r="C55" s="131" t="s">
        <v>36</v>
      </c>
      <c r="D55" s="132"/>
      <c r="E55" s="133">
        <v>75313059305.5</v>
      </c>
      <c r="F55" s="137" t="s">
        <v>37</v>
      </c>
      <c r="G55" s="138"/>
    </row>
    <row r="56" ht="19.5" spans="3:7">
      <c r="C56" s="139">
        <v>0.01</v>
      </c>
      <c r="D56" s="132"/>
      <c r="E56" s="133">
        <f>E55*C56</f>
        <v>753130593.055</v>
      </c>
      <c r="F56" s="137" t="s">
        <v>38</v>
      </c>
      <c r="G56" s="140"/>
    </row>
    <row r="57" ht="19.5" spans="3:7">
      <c r="C57" s="130"/>
      <c r="D57" s="130"/>
      <c r="E57" s="130"/>
      <c r="F57" s="130"/>
      <c r="G57" s="130"/>
    </row>
    <row r="58" ht="19.5" spans="3:7">
      <c r="C58" s="130"/>
      <c r="D58" s="130"/>
      <c r="E58" s="130"/>
      <c r="F58" s="130"/>
      <c r="G58" s="130"/>
    </row>
  </sheetData>
  <mergeCells count="32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5:E35"/>
    <mergeCell ref="D37:E37"/>
    <mergeCell ref="D38:E38"/>
    <mergeCell ref="D39:E39"/>
    <mergeCell ref="D40:E40"/>
    <mergeCell ref="D42:E42"/>
    <mergeCell ref="D43:E43"/>
    <mergeCell ref="C46:E46"/>
    <mergeCell ref="F50:G50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4"/>
  <sheetViews>
    <sheetView zoomScale="70" zoomScaleNormal="70" workbookViewId="0">
      <selection activeCell="E24" sqref="E24:G28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51</v>
      </c>
      <c r="F4" s="215" t="s">
        <v>3</v>
      </c>
      <c r="G4" s="216"/>
      <c r="H4" s="9">
        <f>+E42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G32</f>
        <v>16847894</v>
      </c>
      <c r="I5" s="10"/>
    </row>
    <row r="6" ht="22.5" spans="2:9">
      <c r="B6" s="5"/>
      <c r="C6" s="11" t="s">
        <v>7</v>
      </c>
      <c r="D6" s="12" t="s">
        <v>1</v>
      </c>
      <c r="E6" s="15" t="s">
        <v>52</v>
      </c>
      <c r="F6" s="217" t="s">
        <v>9</v>
      </c>
      <c r="G6" s="218"/>
      <c r="H6" s="14">
        <f>H4-H5</f>
        <v>736282699.055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0.9776295184987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99">
        <f>+LK.02!G22</f>
        <v>2244000</v>
      </c>
      <c r="H16" s="244"/>
      <c r="I16" s="10"/>
    </row>
    <row r="17" ht="19.5" spans="2:9">
      <c r="B17" s="5"/>
      <c r="C17" s="275"/>
      <c r="D17" s="276"/>
      <c r="E17" s="278" t="s">
        <v>53</v>
      </c>
      <c r="F17" s="130"/>
      <c r="G17" s="300">
        <f>+LK.03!G22</f>
        <v>7381394</v>
      </c>
      <c r="H17" s="244"/>
      <c r="I17" s="10"/>
    </row>
    <row r="18" ht="19.5" spans="2:9">
      <c r="B18" s="5"/>
      <c r="C18" s="275"/>
      <c r="D18" s="276"/>
      <c r="E18" s="276"/>
      <c r="F18" s="130"/>
      <c r="H18" s="244"/>
      <c r="I18" s="10"/>
    </row>
    <row r="19" ht="19.5" spans="2:9">
      <c r="B19" s="5"/>
      <c r="C19" s="277"/>
      <c r="D19" s="130"/>
      <c r="E19" s="282" t="s">
        <v>18</v>
      </c>
      <c r="F19" s="283"/>
      <c r="G19" s="284">
        <f>SUM(G15:G17)</f>
        <v>13255894</v>
      </c>
      <c r="H19" s="285">
        <f>H10-G19</f>
        <v>739874699.055</v>
      </c>
      <c r="I19" s="10"/>
    </row>
    <row r="20" ht="19.5" spans="2:9">
      <c r="B20" s="5"/>
      <c r="C20" s="243"/>
      <c r="D20" s="130"/>
      <c r="E20" s="130"/>
      <c r="F20" s="130"/>
      <c r="G20" s="130"/>
      <c r="H20" s="244"/>
      <c r="I20" s="10"/>
    </row>
    <row r="21" ht="19.5" spans="2:9">
      <c r="B21" s="5"/>
      <c r="C21" s="275" t="s">
        <v>19</v>
      </c>
      <c r="D21" s="286"/>
      <c r="E21" s="286"/>
      <c r="F21" s="130"/>
      <c r="G21" s="130"/>
      <c r="H21" s="244"/>
      <c r="I21" s="10"/>
    </row>
    <row r="22" ht="19.5" spans="2:9">
      <c r="B22" s="5"/>
      <c r="C22" s="275" t="s">
        <v>20</v>
      </c>
      <c r="D22" s="286" t="s">
        <v>21</v>
      </c>
      <c r="E22" s="286" t="s">
        <v>22</v>
      </c>
      <c r="F22" s="130"/>
      <c r="G22" s="130"/>
      <c r="H22" s="244"/>
      <c r="I22" s="10"/>
    </row>
    <row r="23" ht="20.25" spans="2:9">
      <c r="B23" s="5"/>
      <c r="C23" s="287">
        <v>44712</v>
      </c>
      <c r="D23" s="276" t="s">
        <v>23</v>
      </c>
      <c r="E23" s="283" t="s">
        <v>51</v>
      </c>
      <c r="F23" s="283"/>
      <c r="G23" s="288">
        <v>3592000</v>
      </c>
      <c r="H23" s="244"/>
      <c r="I23" s="10"/>
    </row>
    <row r="24" ht="21" spans="2:9">
      <c r="B24" s="5"/>
      <c r="C24" s="287">
        <v>44673</v>
      </c>
      <c r="D24" s="276"/>
      <c r="E24" s="289" t="s">
        <v>45</v>
      </c>
      <c r="F24" s="290"/>
      <c r="G24" s="291">
        <v>0</v>
      </c>
      <c r="H24" s="244"/>
      <c r="I24" s="10"/>
    </row>
    <row r="25" ht="20.25" spans="2:9">
      <c r="B25" s="5"/>
      <c r="C25" s="287"/>
      <c r="D25" s="276"/>
      <c r="E25" s="289" t="s">
        <v>54</v>
      </c>
      <c r="F25" s="292"/>
      <c r="G25" s="293">
        <v>2618606</v>
      </c>
      <c r="H25" s="244"/>
      <c r="I25" s="10"/>
    </row>
    <row r="26" ht="20.25" spans="2:9">
      <c r="B26" s="5"/>
      <c r="C26" s="287"/>
      <c r="D26" s="276"/>
      <c r="E26" s="294" t="s">
        <v>55</v>
      </c>
      <c r="F26" s="292"/>
      <c r="G26" s="293">
        <v>973394</v>
      </c>
      <c r="H26" s="244"/>
      <c r="I26" s="10"/>
    </row>
    <row r="27" ht="20.25" spans="2:9">
      <c r="B27" s="5"/>
      <c r="C27" s="287"/>
      <c r="D27" s="276"/>
      <c r="E27" s="294" t="s">
        <v>48</v>
      </c>
      <c r="F27" s="292"/>
      <c r="G27" s="293"/>
      <c r="H27" s="244"/>
      <c r="I27" s="10"/>
    </row>
    <row r="28" ht="20.25" spans="2:9">
      <c r="B28" s="5"/>
      <c r="C28" s="287"/>
      <c r="D28" s="276"/>
      <c r="E28" s="294" t="s">
        <v>49</v>
      </c>
      <c r="F28" s="292"/>
      <c r="G28" s="293"/>
      <c r="H28" s="244"/>
      <c r="I28" s="10"/>
    </row>
    <row r="29" ht="20.25" spans="2:9">
      <c r="B29" s="5"/>
      <c r="C29" s="243"/>
      <c r="D29" s="130"/>
      <c r="E29" s="130"/>
      <c r="F29" s="130"/>
      <c r="G29" s="295">
        <v>0</v>
      </c>
      <c r="H29" s="244"/>
      <c r="I29" s="10"/>
    </row>
    <row r="30" ht="20.25" spans="2:9">
      <c r="B30" s="5"/>
      <c r="C30" s="243"/>
      <c r="D30" s="130"/>
      <c r="E30" s="296" t="s">
        <v>25</v>
      </c>
      <c r="G30" s="305">
        <f>G23-SUM(G24:G29)</f>
        <v>0</v>
      </c>
      <c r="H30" s="244"/>
      <c r="I30" s="10"/>
    </row>
    <row r="31" ht="20.25" spans="2:9">
      <c r="B31" s="5"/>
      <c r="C31" s="109"/>
      <c r="D31" s="66"/>
      <c r="E31" s="66"/>
      <c r="F31" s="66"/>
      <c r="G31" s="66"/>
      <c r="H31" s="110"/>
      <c r="I31" s="10"/>
    </row>
    <row r="32" ht="20.25" spans="2:9">
      <c r="B32" s="5"/>
      <c r="C32" s="258" t="s">
        <v>26</v>
      </c>
      <c r="D32" s="259"/>
      <c r="E32" s="259"/>
      <c r="F32" s="71"/>
      <c r="G32" s="260">
        <f>G19+G23</f>
        <v>16847894</v>
      </c>
      <c r="H32" s="261">
        <f>H10-G32</f>
        <v>736282699.055</v>
      </c>
      <c r="I32" s="10"/>
    </row>
    <row r="33" ht="19.5" spans="2:9">
      <c r="B33" s="5"/>
      <c r="C33" s="262" t="s">
        <v>27</v>
      </c>
      <c r="D33" s="263"/>
      <c r="E33" s="264"/>
      <c r="F33" s="130"/>
      <c r="G33" s="130"/>
      <c r="H33" s="244"/>
      <c r="I33" s="10"/>
    </row>
    <row r="34" ht="19.5" spans="2:9">
      <c r="B34" s="5"/>
      <c r="C34" s="265" t="s">
        <v>28</v>
      </c>
      <c r="D34" s="266" t="s">
        <v>1</v>
      </c>
      <c r="E34" s="298">
        <f>G30</f>
        <v>0</v>
      </c>
      <c r="F34" s="130"/>
      <c r="G34" s="130"/>
      <c r="H34" s="244"/>
      <c r="I34" s="10"/>
    </row>
    <row r="35" ht="19.5" spans="2:9">
      <c r="B35" s="5"/>
      <c r="C35" s="265" t="s">
        <v>29</v>
      </c>
      <c r="D35" s="266" t="s">
        <v>1</v>
      </c>
      <c r="E35" s="267" t="s">
        <v>30</v>
      </c>
      <c r="F35" s="130"/>
      <c r="G35" s="130"/>
      <c r="H35" s="244"/>
      <c r="I35" s="10"/>
    </row>
    <row r="36" ht="19.5" spans="2:9">
      <c r="B36" s="5"/>
      <c r="C36" s="268" t="s">
        <v>31</v>
      </c>
      <c r="D36" s="269" t="s">
        <v>1</v>
      </c>
      <c r="E36" s="270" t="s">
        <v>32</v>
      </c>
      <c r="F36" s="128"/>
      <c r="G36" s="271" t="s">
        <v>50</v>
      </c>
      <c r="H36" s="272"/>
      <c r="I36" s="10"/>
    </row>
    <row r="37" ht="6" customHeight="1" spans="2:9">
      <c r="B37" s="127"/>
      <c r="C37" s="128"/>
      <c r="D37" s="128"/>
      <c r="E37" s="128"/>
      <c r="F37" s="128"/>
      <c r="G37" s="128"/>
      <c r="H37" s="128"/>
      <c r="I37" s="129"/>
    </row>
    <row r="38" ht="19.5" spans="3:8">
      <c r="C38" s="130"/>
      <c r="D38" s="130"/>
      <c r="E38" s="130"/>
      <c r="F38" s="130"/>
      <c r="G38" s="130"/>
      <c r="H38" s="130"/>
    </row>
    <row r="39" ht="19.5" spans="3:8">
      <c r="C39" s="131" t="s">
        <v>34</v>
      </c>
      <c r="D39" s="132"/>
      <c r="E39" s="133"/>
      <c r="F39" s="134"/>
      <c r="G39" s="134"/>
      <c r="H39" s="130"/>
    </row>
    <row r="40" ht="19.5" spans="3:8">
      <c r="C40" s="131"/>
      <c r="D40" s="132"/>
      <c r="E40" s="133"/>
      <c r="F40" s="135" t="s">
        <v>35</v>
      </c>
      <c r="G40" s="136">
        <v>15000000</v>
      </c>
      <c r="H40" s="130"/>
    </row>
    <row r="41" ht="19.5" spans="3:8">
      <c r="C41" s="131" t="s">
        <v>36</v>
      </c>
      <c r="D41" s="132"/>
      <c r="E41" s="133">
        <v>75313059305.5</v>
      </c>
      <c r="F41" s="137" t="s">
        <v>37</v>
      </c>
      <c r="G41" s="138"/>
      <c r="H41" s="130"/>
    </row>
    <row r="42" ht="19.5" spans="3:8">
      <c r="C42" s="139">
        <v>0.01</v>
      </c>
      <c r="D42" s="132"/>
      <c r="E42" s="133">
        <f>E41*C42</f>
        <v>753130593.055</v>
      </c>
      <c r="F42" s="137" t="s">
        <v>38</v>
      </c>
      <c r="G42" s="140"/>
      <c r="H42" s="130"/>
    </row>
    <row r="43" ht="19.5" spans="3:8">
      <c r="C43" s="130"/>
      <c r="D43" s="130"/>
      <c r="E43" s="130"/>
      <c r="F43" s="130"/>
      <c r="G43" s="130"/>
      <c r="H43" s="130"/>
    </row>
    <row r="44" ht="19.5" spans="3:8">
      <c r="C44" s="130"/>
      <c r="D44" s="130"/>
      <c r="E44" s="130"/>
      <c r="F44" s="130"/>
      <c r="G44" s="130"/>
      <c r="H44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1:E21"/>
    <mergeCell ref="C32:E32"/>
    <mergeCell ref="G36:H36"/>
  </mergeCells>
  <pageMargins left="0.7" right="0.7" top="0.75" bottom="0.75" header="0.3" footer="0.3"/>
  <pageSetup paperSize="9" orientation="portrait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5" zoomScaleNormal="85" topLeftCell="A32" workbookViewId="0">
      <selection activeCell="L39" sqref="L3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346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321823932.75</v>
      </c>
      <c r="H5" s="10"/>
    </row>
    <row r="6" ht="22.5" spans="2:8">
      <c r="B6" s="5"/>
      <c r="C6" s="11" t="s">
        <v>7</v>
      </c>
      <c r="D6" s="12" t="s">
        <v>1</v>
      </c>
      <c r="E6" s="15" t="s">
        <v>347</v>
      </c>
      <c r="F6" s="11" t="s">
        <v>9</v>
      </c>
      <c r="G6" s="14">
        <f>G4-G5</f>
        <v>431306660.305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0.572685088459157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348</v>
      </c>
      <c r="D32" s="48" t="s">
        <v>349</v>
      </c>
      <c r="E32" s="49"/>
      <c r="F32" s="50">
        <f>+LK.39!F43</f>
        <v>4079350</v>
      </c>
      <c r="G32" s="58"/>
      <c r="H32" s="10"/>
    </row>
    <row r="33" ht="21" spans="2:12">
      <c r="B33" s="5"/>
      <c r="C33" s="51"/>
      <c r="D33" s="150" t="s">
        <v>350</v>
      </c>
      <c r="E33" s="53"/>
      <c r="F33" s="54"/>
      <c r="G33" s="60"/>
      <c r="H33" s="10"/>
      <c r="L33" s="1">
        <v>9237317.25</v>
      </c>
    </row>
    <row r="34" ht="5.4" customHeight="1" spans="2:8">
      <c r="B34" s="5"/>
      <c r="C34" s="61"/>
      <c r="D34" s="62"/>
      <c r="E34" s="62"/>
      <c r="F34" s="63"/>
      <c r="G34" s="64"/>
      <c r="H34" s="10"/>
    </row>
    <row r="35" ht="22.5" spans="2:8">
      <c r="B35" s="5"/>
      <c r="C35" s="65"/>
      <c r="D35" s="66"/>
      <c r="E35" s="67" t="s">
        <v>18</v>
      </c>
      <c r="F35" s="68">
        <f>SUM(F12:F33)</f>
        <v>317615932.75</v>
      </c>
      <c r="G35" s="69">
        <f>G4-F35</f>
        <v>435514660.305</v>
      </c>
      <c r="H35" s="10"/>
    </row>
    <row r="36" ht="5.4" customHeight="1" spans="2:8">
      <c r="B36" s="5"/>
      <c r="C36" s="70"/>
      <c r="D36" s="71"/>
      <c r="E36" s="72"/>
      <c r="F36" s="73"/>
      <c r="G36" s="74"/>
      <c r="H36" s="10"/>
    </row>
    <row r="37" ht="22.5" spans="2:12">
      <c r="B37" s="5"/>
      <c r="C37" s="75"/>
      <c r="D37" s="28" t="s">
        <v>132</v>
      </c>
      <c r="E37" s="76"/>
      <c r="F37" s="77">
        <v>0</v>
      </c>
      <c r="G37" s="78"/>
      <c r="H37" s="10"/>
      <c r="L37" s="1">
        <f>282+11</f>
        <v>293</v>
      </c>
    </row>
    <row r="38" ht="6" customHeight="1" spans="2:8">
      <c r="B38" s="5"/>
      <c r="C38" s="75"/>
      <c r="D38" s="28"/>
      <c r="E38" s="76"/>
      <c r="F38" s="77"/>
      <c r="G38" s="78"/>
      <c r="H38" s="10"/>
    </row>
    <row r="39" ht="21" spans="2:12">
      <c r="B39" s="5"/>
      <c r="C39" s="79" t="s">
        <v>20</v>
      </c>
      <c r="D39" s="80" t="s">
        <v>133</v>
      </c>
      <c r="E39" s="81"/>
      <c r="F39" s="82" t="s">
        <v>134</v>
      </c>
      <c r="G39" s="83" t="s">
        <v>135</v>
      </c>
      <c r="H39" s="10"/>
      <c r="L39" s="141">
        <v>13550567.25</v>
      </c>
    </row>
    <row r="40" ht="21" spans="2:12">
      <c r="B40" s="5"/>
      <c r="C40" s="79"/>
      <c r="D40" s="152" t="s">
        <v>343</v>
      </c>
      <c r="E40" s="85"/>
      <c r="F40" s="86">
        <v>0</v>
      </c>
      <c r="G40" s="87">
        <v>0</v>
      </c>
      <c r="H40" s="10"/>
      <c r="L40" s="1">
        <v>5837917.25</v>
      </c>
    </row>
    <row r="41" ht="19.8" customHeight="1" spans="2:8">
      <c r="B41" s="5"/>
      <c r="C41" s="88" t="s">
        <v>335</v>
      </c>
      <c r="D41" s="91" t="s">
        <v>351</v>
      </c>
      <c r="E41" s="92"/>
      <c r="F41" s="87">
        <v>1758567.25</v>
      </c>
      <c r="G41" s="87">
        <v>0</v>
      </c>
      <c r="H41" s="10"/>
    </row>
    <row r="42" ht="21" spans="2:12">
      <c r="B42" s="5"/>
      <c r="C42" s="88" t="s">
        <v>352</v>
      </c>
      <c r="D42" s="91" t="s">
        <v>353</v>
      </c>
      <c r="E42" s="92"/>
      <c r="F42" s="87">
        <v>2449432.75</v>
      </c>
      <c r="G42" s="87">
        <f>16000000-F42</f>
        <v>13550567.25</v>
      </c>
      <c r="H42" s="10"/>
      <c r="L42" s="142">
        <v>7133653.25</v>
      </c>
    </row>
    <row r="43" ht="7.8" customHeight="1" spans="2:12">
      <c r="B43" s="5"/>
      <c r="C43" s="93"/>
      <c r="D43" s="94"/>
      <c r="E43" s="95"/>
      <c r="F43" s="96"/>
      <c r="G43" s="97"/>
      <c r="H43" s="10"/>
      <c r="L43" s="142"/>
    </row>
    <row r="44" ht="19.2" customHeight="1" spans="2:12">
      <c r="B44" s="5"/>
      <c r="C44" s="79" t="s">
        <v>20</v>
      </c>
      <c r="D44" s="98" t="s">
        <v>141</v>
      </c>
      <c r="E44" s="81"/>
      <c r="F44" s="82"/>
      <c r="G44" s="99"/>
      <c r="H44" s="10"/>
      <c r="L44" s="142">
        <v>14509106.75</v>
      </c>
    </row>
    <row r="45" ht="22.5" spans="2:12">
      <c r="B45" s="5"/>
      <c r="C45" s="93">
        <v>45099</v>
      </c>
      <c r="D45" s="151" t="s">
        <v>354</v>
      </c>
      <c r="E45" s="101"/>
      <c r="F45" s="102">
        <v>4208000</v>
      </c>
      <c r="G45" s="103"/>
      <c r="H45" s="10"/>
      <c r="L45" s="142">
        <v>14509106.75</v>
      </c>
    </row>
    <row r="46" ht="22.5" spans="2:12">
      <c r="B46" s="5"/>
      <c r="C46" s="104"/>
      <c r="D46" s="105"/>
      <c r="E46" s="106" t="s">
        <v>25</v>
      </c>
      <c r="F46" s="107">
        <f>F45-SUM(F40:F42)</f>
        <v>0</v>
      </c>
      <c r="G46" s="108"/>
      <c r="H46" s="10"/>
      <c r="L46" s="141">
        <f>F42+G42+3866346.75</f>
        <v>19866346.75</v>
      </c>
    </row>
    <row r="47" ht="10.2" customHeight="1" spans="2:8">
      <c r="B47" s="5"/>
      <c r="C47" s="109"/>
      <c r="D47" s="66"/>
      <c r="E47" s="66"/>
      <c r="F47" s="66"/>
      <c r="G47" s="110"/>
      <c r="H47" s="10"/>
    </row>
    <row r="48" ht="21.75" spans="2:12">
      <c r="B48" s="5"/>
      <c r="C48" s="111" t="s">
        <v>26</v>
      </c>
      <c r="D48" s="112"/>
      <c r="E48" s="112"/>
      <c r="F48" s="113">
        <f>F35+F45</f>
        <v>321823932.75</v>
      </c>
      <c r="G48" s="114">
        <f>G4-F48</f>
        <v>431306660.305</v>
      </c>
      <c r="H48" s="10"/>
      <c r="L48" s="143">
        <v>3064367.25</v>
      </c>
    </row>
    <row r="49" ht="21" spans="2:12">
      <c r="B49" s="5"/>
      <c r="C49" s="115" t="s">
        <v>27</v>
      </c>
      <c r="D49" s="116"/>
      <c r="E49" s="34"/>
      <c r="F49" s="117"/>
      <c r="G49" s="56"/>
      <c r="H49" s="10"/>
      <c r="L49" s="1">
        <f>5324450+3191882.75+6419300</f>
        <v>14935632.75</v>
      </c>
    </row>
    <row r="50" ht="22.5" spans="2:12">
      <c r="B50" s="5"/>
      <c r="C50" s="118" t="s">
        <v>28</v>
      </c>
      <c r="D50" s="119" t="s">
        <v>1</v>
      </c>
      <c r="E50" s="120">
        <f>F46</f>
        <v>0</v>
      </c>
      <c r="F50" s="117"/>
      <c r="G50" s="56"/>
      <c r="H50" s="10"/>
      <c r="L50" s="1">
        <v>11659317.25</v>
      </c>
    </row>
    <row r="51" ht="21" spans="2:8">
      <c r="B51" s="5"/>
      <c r="C51" s="118" t="s">
        <v>29</v>
      </c>
      <c r="D51" s="119" t="s">
        <v>1</v>
      </c>
      <c r="E51" s="121" t="s">
        <v>30</v>
      </c>
      <c r="F51" s="117"/>
      <c r="G51" s="56"/>
      <c r="H51" s="10"/>
    </row>
    <row r="52" ht="21" spans="2:8">
      <c r="B52" s="5"/>
      <c r="C52" s="122" t="s">
        <v>31</v>
      </c>
      <c r="D52" s="123" t="s">
        <v>1</v>
      </c>
      <c r="E52" s="124" t="s">
        <v>32</v>
      </c>
      <c r="F52" s="125" t="s">
        <v>50</v>
      </c>
      <c r="G52" s="126"/>
      <c r="H52" s="10"/>
    </row>
    <row r="53" ht="6" customHeight="1" spans="2:8">
      <c r="B53" s="127"/>
      <c r="C53" s="128"/>
      <c r="D53" s="128"/>
      <c r="E53" s="128"/>
      <c r="F53" s="128"/>
      <c r="G53" s="128"/>
      <c r="H53" s="129"/>
    </row>
    <row r="54" ht="19.5" spans="3:7">
      <c r="C54" s="130"/>
      <c r="D54" s="130"/>
      <c r="E54" s="130"/>
      <c r="F54" s="130"/>
      <c r="G54" s="130"/>
    </row>
    <row r="55" ht="19.5" spans="3:7">
      <c r="C55" s="131" t="s">
        <v>34</v>
      </c>
      <c r="D55" s="132"/>
      <c r="E55" s="133"/>
      <c r="F55" s="134"/>
      <c r="G55" s="130"/>
    </row>
    <row r="56" ht="19.5" spans="3:7">
      <c r="C56" s="131"/>
      <c r="D56" s="132"/>
      <c r="E56" s="133"/>
      <c r="F56" s="135" t="s">
        <v>35</v>
      </c>
      <c r="G56" s="136">
        <v>15000000</v>
      </c>
    </row>
    <row r="57" ht="19.5" spans="3:7">
      <c r="C57" s="131" t="s">
        <v>36</v>
      </c>
      <c r="D57" s="132"/>
      <c r="E57" s="133">
        <v>75313059305.5</v>
      </c>
      <c r="F57" s="137" t="s">
        <v>37</v>
      </c>
      <c r="G57" s="138"/>
    </row>
    <row r="58" ht="19.5" spans="3:7">
      <c r="C58" s="139">
        <v>0.01</v>
      </c>
      <c r="D58" s="132"/>
      <c r="E58" s="133">
        <f>E57*C58</f>
        <v>753130593.055</v>
      </c>
      <c r="F58" s="137" t="s">
        <v>38</v>
      </c>
      <c r="G58" s="140"/>
    </row>
    <row r="59" ht="19.5" spans="3:7">
      <c r="C59" s="130"/>
      <c r="D59" s="130"/>
      <c r="E59" s="130"/>
      <c r="F59" s="130"/>
      <c r="G59" s="130"/>
    </row>
    <row r="60" ht="19.5" spans="3:7">
      <c r="C60" s="130"/>
      <c r="D60" s="130"/>
      <c r="E60" s="130"/>
      <c r="F60" s="130"/>
      <c r="G60" s="130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30" workbookViewId="0">
      <selection activeCell="G41" sqref="G41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355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328808232.75</v>
      </c>
      <c r="H5" s="10"/>
    </row>
    <row r="6" ht="22.5" spans="2:8">
      <c r="B6" s="5"/>
      <c r="C6" s="11" t="s">
        <v>7</v>
      </c>
      <c r="D6" s="12" t="s">
        <v>1</v>
      </c>
      <c r="E6" s="15" t="s">
        <v>356</v>
      </c>
      <c r="F6" s="11" t="s">
        <v>9</v>
      </c>
      <c r="G6" s="14">
        <f>G4-G5</f>
        <v>424322360.305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0.563411397993777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357</v>
      </c>
      <c r="D32" s="48" t="s">
        <v>349</v>
      </c>
      <c r="E32" s="49"/>
      <c r="F32" s="50">
        <f>+LK.39!F43+LK.40!F45</f>
        <v>8287350</v>
      </c>
      <c r="G32" s="58"/>
      <c r="H32" s="10"/>
    </row>
    <row r="33" ht="21" spans="2:12">
      <c r="B33" s="5"/>
      <c r="C33" s="51"/>
      <c r="D33" s="150" t="s">
        <v>358</v>
      </c>
      <c r="E33" s="53"/>
      <c r="F33" s="54"/>
      <c r="G33" s="60"/>
      <c r="H33" s="10"/>
      <c r="L33" s="1">
        <v>6566267.25</v>
      </c>
    </row>
    <row r="34" ht="5.4" customHeight="1" spans="2:8">
      <c r="B34" s="5"/>
      <c r="C34" s="61"/>
      <c r="D34" s="62"/>
      <c r="E34" s="62"/>
      <c r="F34" s="63"/>
      <c r="G34" s="64"/>
      <c r="H34" s="10"/>
    </row>
    <row r="35" ht="22.5" spans="2:8">
      <c r="B35" s="5"/>
      <c r="C35" s="65"/>
      <c r="D35" s="66"/>
      <c r="E35" s="67" t="s">
        <v>18</v>
      </c>
      <c r="F35" s="68">
        <f>SUM(F12:F33)</f>
        <v>321823932.75</v>
      </c>
      <c r="G35" s="69">
        <f>G4-F35</f>
        <v>431306660.305</v>
      </c>
      <c r="H35" s="10"/>
    </row>
    <row r="36" ht="5.4" customHeight="1" spans="2:8">
      <c r="B36" s="5"/>
      <c r="C36" s="70"/>
      <c r="D36" s="71"/>
      <c r="E36" s="72"/>
      <c r="F36" s="73"/>
      <c r="G36" s="74"/>
      <c r="H36" s="10"/>
    </row>
    <row r="37" ht="22.5" spans="2:12">
      <c r="B37" s="5"/>
      <c r="C37" s="75"/>
      <c r="D37" s="28" t="s">
        <v>132</v>
      </c>
      <c r="E37" s="76"/>
      <c r="F37" s="77">
        <v>0</v>
      </c>
      <c r="G37" s="78"/>
      <c r="H37" s="10"/>
      <c r="L37" s="1">
        <f>282+11</f>
        <v>293</v>
      </c>
    </row>
    <row r="38" ht="6" customHeight="1" spans="2:8">
      <c r="B38" s="5"/>
      <c r="C38" s="75"/>
      <c r="D38" s="28"/>
      <c r="E38" s="76"/>
      <c r="F38" s="77"/>
      <c r="G38" s="78"/>
      <c r="H38" s="10"/>
    </row>
    <row r="39" ht="21" spans="2:12">
      <c r="B39" s="5"/>
      <c r="C39" s="79" t="s">
        <v>20</v>
      </c>
      <c r="D39" s="80" t="s">
        <v>133</v>
      </c>
      <c r="E39" s="81"/>
      <c r="F39" s="82" t="s">
        <v>134</v>
      </c>
      <c r="G39" s="83" t="s">
        <v>135</v>
      </c>
      <c r="H39" s="10"/>
      <c r="L39" s="141">
        <v>13550567.25</v>
      </c>
    </row>
    <row r="40" ht="21" spans="2:12">
      <c r="B40" s="5"/>
      <c r="C40" s="79"/>
      <c r="D40" s="152" t="s">
        <v>359</v>
      </c>
      <c r="E40" s="85"/>
      <c r="F40" s="86">
        <v>0</v>
      </c>
      <c r="G40" s="87">
        <v>0</v>
      </c>
      <c r="H40" s="10"/>
      <c r="L40" s="1">
        <v>5837917.25</v>
      </c>
    </row>
    <row r="41" ht="19.8" customHeight="1" spans="2:8">
      <c r="B41" s="5"/>
      <c r="C41" s="88" t="s">
        <v>352</v>
      </c>
      <c r="D41" s="91" t="s">
        <v>360</v>
      </c>
      <c r="E41" s="92"/>
      <c r="F41" s="87">
        <v>6984300</v>
      </c>
      <c r="G41" s="87">
        <f>16000000-F41-2449432.75</f>
        <v>6566267.25</v>
      </c>
      <c r="H41" s="10"/>
    </row>
    <row r="42" ht="21" spans="2:12">
      <c r="B42" s="5"/>
      <c r="C42" s="88"/>
      <c r="D42" s="91"/>
      <c r="E42" s="92"/>
      <c r="F42" s="87"/>
      <c r="G42" s="87"/>
      <c r="H42" s="10"/>
      <c r="L42" s="142">
        <v>7133653.25</v>
      </c>
    </row>
    <row r="43" ht="7.8" customHeight="1" spans="2:12">
      <c r="B43" s="5"/>
      <c r="C43" s="93"/>
      <c r="D43" s="94"/>
      <c r="E43" s="95"/>
      <c r="F43" s="96"/>
      <c r="G43" s="97"/>
      <c r="H43" s="10"/>
      <c r="L43" s="142"/>
    </row>
    <row r="44" ht="19.2" customHeight="1" spans="2:12">
      <c r="B44" s="5"/>
      <c r="C44" s="79" t="s">
        <v>20</v>
      </c>
      <c r="D44" s="98" t="s">
        <v>141</v>
      </c>
      <c r="E44" s="81"/>
      <c r="F44" s="82"/>
      <c r="G44" s="99"/>
      <c r="H44" s="10"/>
      <c r="L44" s="142">
        <v>14509106.75</v>
      </c>
    </row>
    <row r="45" ht="22.5" spans="2:12">
      <c r="B45" s="5"/>
      <c r="C45" s="93">
        <v>45119</v>
      </c>
      <c r="D45" s="151" t="s">
        <v>361</v>
      </c>
      <c r="E45" s="101"/>
      <c r="F45" s="102">
        <v>6984300</v>
      </c>
      <c r="G45" s="103"/>
      <c r="H45" s="10"/>
      <c r="L45" s="142">
        <v>14509106.75</v>
      </c>
    </row>
    <row r="46" ht="22.5" spans="2:12">
      <c r="B46" s="5"/>
      <c r="C46" s="104"/>
      <c r="D46" s="105"/>
      <c r="E46" s="106" t="s">
        <v>25</v>
      </c>
      <c r="F46" s="107">
        <f>F45-SUM(F40:F42)</f>
        <v>0</v>
      </c>
      <c r="G46" s="108"/>
      <c r="H46" s="10"/>
      <c r="L46" s="141">
        <f>F42+G42+3866346.75</f>
        <v>3866346.75</v>
      </c>
    </row>
    <row r="47" ht="10.2" customHeight="1" spans="2:8">
      <c r="B47" s="5"/>
      <c r="C47" s="109"/>
      <c r="D47" s="66"/>
      <c r="E47" s="66"/>
      <c r="F47" s="66"/>
      <c r="G47" s="110"/>
      <c r="H47" s="10"/>
    </row>
    <row r="48" ht="21.75" spans="2:12">
      <c r="B48" s="5"/>
      <c r="C48" s="111" t="s">
        <v>26</v>
      </c>
      <c r="D48" s="112"/>
      <c r="E48" s="112"/>
      <c r="F48" s="113">
        <f>F35+F45</f>
        <v>328808232.75</v>
      </c>
      <c r="G48" s="114">
        <f>G4-F48</f>
        <v>424322360.305</v>
      </c>
      <c r="H48" s="10"/>
      <c r="L48" s="143">
        <v>3064367.25</v>
      </c>
    </row>
    <row r="49" ht="21" spans="2:12">
      <c r="B49" s="5"/>
      <c r="C49" s="115" t="s">
        <v>27</v>
      </c>
      <c r="D49" s="116"/>
      <c r="E49" s="34"/>
      <c r="F49" s="117"/>
      <c r="G49" s="56"/>
      <c r="H49" s="10"/>
      <c r="L49" s="1">
        <f>5324450+3191882.75+6419300</f>
        <v>14935632.75</v>
      </c>
    </row>
    <row r="50" ht="22.5" spans="2:12">
      <c r="B50" s="5"/>
      <c r="C50" s="118" t="s">
        <v>28</v>
      </c>
      <c r="D50" s="119" t="s">
        <v>1</v>
      </c>
      <c r="E50" s="120">
        <f>F46</f>
        <v>0</v>
      </c>
      <c r="F50" s="117"/>
      <c r="G50" s="56"/>
      <c r="H50" s="10"/>
      <c r="L50" s="1">
        <v>11659317.25</v>
      </c>
    </row>
    <row r="51" ht="21" spans="2:8">
      <c r="B51" s="5"/>
      <c r="C51" s="118" t="s">
        <v>29</v>
      </c>
      <c r="D51" s="119" t="s">
        <v>1</v>
      </c>
      <c r="E51" s="121" t="s">
        <v>30</v>
      </c>
      <c r="F51" s="117"/>
      <c r="G51" s="56"/>
      <c r="H51" s="10"/>
    </row>
    <row r="52" ht="21" spans="2:8">
      <c r="B52" s="5"/>
      <c r="C52" s="122" t="s">
        <v>31</v>
      </c>
      <c r="D52" s="123" t="s">
        <v>1</v>
      </c>
      <c r="E52" s="124" t="s">
        <v>32</v>
      </c>
      <c r="F52" s="125" t="s">
        <v>50</v>
      </c>
      <c r="G52" s="126"/>
      <c r="H52" s="10"/>
    </row>
    <row r="53" ht="6" customHeight="1" spans="2:8">
      <c r="B53" s="127"/>
      <c r="C53" s="128"/>
      <c r="D53" s="128"/>
      <c r="E53" s="128"/>
      <c r="F53" s="128"/>
      <c r="G53" s="128"/>
      <c r="H53" s="129"/>
    </row>
    <row r="54" ht="19.5" spans="3:7">
      <c r="C54" s="130"/>
      <c r="D54" s="130"/>
      <c r="E54" s="130"/>
      <c r="F54" s="130"/>
      <c r="G54" s="130"/>
    </row>
    <row r="55" ht="19.5" spans="3:7">
      <c r="C55" s="131" t="s">
        <v>34</v>
      </c>
      <c r="D55" s="132"/>
      <c r="E55" s="133"/>
      <c r="F55" s="134"/>
      <c r="G55" s="130"/>
    </row>
    <row r="56" ht="19.5" spans="3:7">
      <c r="C56" s="131"/>
      <c r="D56" s="132"/>
      <c r="E56" s="133"/>
      <c r="F56" s="135" t="s">
        <v>35</v>
      </c>
      <c r="G56" s="136">
        <v>15000000</v>
      </c>
    </row>
    <row r="57" ht="19.5" spans="3:7">
      <c r="C57" s="131" t="s">
        <v>36</v>
      </c>
      <c r="D57" s="132"/>
      <c r="E57" s="133">
        <v>75313059305.5</v>
      </c>
      <c r="F57" s="137" t="s">
        <v>37</v>
      </c>
      <c r="G57" s="138"/>
    </row>
    <row r="58" ht="19.5" spans="3:7">
      <c r="C58" s="139">
        <v>0.01</v>
      </c>
      <c r="D58" s="132"/>
      <c r="E58" s="133">
        <f>E57*C58</f>
        <v>753130593.055</v>
      </c>
      <c r="F58" s="137" t="s">
        <v>38</v>
      </c>
      <c r="G58" s="140"/>
    </row>
    <row r="59" ht="19.5" spans="3:7">
      <c r="C59" s="130"/>
      <c r="D59" s="130"/>
      <c r="E59" s="130"/>
      <c r="F59" s="130"/>
      <c r="G59" s="130"/>
    </row>
    <row r="60" ht="19.5" spans="3:7">
      <c r="C60" s="130"/>
      <c r="D60" s="130"/>
      <c r="E60" s="130"/>
      <c r="F60" s="130"/>
      <c r="G60" s="130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27" workbookViewId="0">
      <selection activeCell="J40" sqref="J40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362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336250836.75</v>
      </c>
      <c r="H5" s="10"/>
    </row>
    <row r="6" ht="22.5" spans="2:8">
      <c r="B6" s="5"/>
      <c r="C6" s="11" t="s">
        <v>7</v>
      </c>
      <c r="D6" s="12" t="s">
        <v>1</v>
      </c>
      <c r="E6" s="15" t="s">
        <v>363</v>
      </c>
      <c r="F6" s="11" t="s">
        <v>9</v>
      </c>
      <c r="G6" s="14">
        <f>G4-G5</f>
        <v>416879756.305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0.553529175616102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364</v>
      </c>
      <c r="D32" s="48" t="s">
        <v>349</v>
      </c>
      <c r="E32" s="49"/>
      <c r="F32" s="50">
        <f>+LK.39!F43+LK.40!F45+LK.41!F45</f>
        <v>15271650</v>
      </c>
      <c r="G32" s="58"/>
      <c r="H32" s="10"/>
    </row>
    <row r="33" ht="21" spans="2:12">
      <c r="B33" s="5"/>
      <c r="C33" s="51"/>
      <c r="D33" s="150" t="s">
        <v>365</v>
      </c>
      <c r="E33" s="53"/>
      <c r="F33" s="54"/>
      <c r="G33" s="60"/>
      <c r="H33" s="10"/>
      <c r="L33" s="87">
        <v>9433732.75</v>
      </c>
    </row>
    <row r="34" ht="5.4" customHeight="1" spans="2:8">
      <c r="B34" s="5"/>
      <c r="C34" s="61"/>
      <c r="D34" s="62"/>
      <c r="E34" s="62"/>
      <c r="F34" s="63"/>
      <c r="G34" s="64"/>
      <c r="H34" s="10"/>
    </row>
    <row r="35" ht="22.5" spans="2:8">
      <c r="B35" s="5"/>
      <c r="C35" s="65"/>
      <c r="D35" s="66"/>
      <c r="E35" s="67" t="s">
        <v>18</v>
      </c>
      <c r="F35" s="68">
        <f>SUM(F12:F33)</f>
        <v>328808232.75</v>
      </c>
      <c r="G35" s="69">
        <f>G4-F35</f>
        <v>424322360.305</v>
      </c>
      <c r="H35" s="10"/>
    </row>
    <row r="36" ht="5.4" customHeight="1" spans="2:8">
      <c r="B36" s="5"/>
      <c r="C36" s="70"/>
      <c r="D36" s="71"/>
      <c r="E36" s="72"/>
      <c r="F36" s="73"/>
      <c r="G36" s="74"/>
      <c r="H36" s="10"/>
    </row>
    <row r="37" ht="22.5" spans="2:12">
      <c r="B37" s="5"/>
      <c r="C37" s="75"/>
      <c r="D37" s="28" t="s">
        <v>132</v>
      </c>
      <c r="E37" s="76"/>
      <c r="F37" s="77">
        <v>0</v>
      </c>
      <c r="G37" s="78"/>
      <c r="H37" s="10"/>
      <c r="L37" s="1">
        <f>282+11</f>
        <v>293</v>
      </c>
    </row>
    <row r="38" ht="6" customHeight="1" spans="2:8">
      <c r="B38" s="5"/>
      <c r="C38" s="75"/>
      <c r="D38" s="28"/>
      <c r="E38" s="76"/>
      <c r="F38" s="77"/>
      <c r="G38" s="78"/>
      <c r="H38" s="10"/>
    </row>
    <row r="39" ht="21" spans="2:12">
      <c r="B39" s="5"/>
      <c r="C39" s="79" t="s">
        <v>20</v>
      </c>
      <c r="D39" s="80" t="s">
        <v>133</v>
      </c>
      <c r="E39" s="81"/>
      <c r="F39" s="82" t="s">
        <v>134</v>
      </c>
      <c r="G39" s="83" t="s">
        <v>135</v>
      </c>
      <c r="H39" s="10"/>
      <c r="L39" s="141">
        <v>13550567.25</v>
      </c>
    </row>
    <row r="40" ht="21" spans="2:12">
      <c r="B40" s="5"/>
      <c r="C40" s="79"/>
      <c r="D40" s="152" t="s">
        <v>359</v>
      </c>
      <c r="E40" s="85"/>
      <c r="F40" s="86">
        <v>0</v>
      </c>
      <c r="G40" s="87">
        <v>0</v>
      </c>
      <c r="H40" s="10"/>
      <c r="L40" s="1">
        <v>5837917.25</v>
      </c>
    </row>
    <row r="41" ht="19.8" customHeight="1" spans="2:8">
      <c r="B41" s="5"/>
      <c r="C41" s="88" t="s">
        <v>352</v>
      </c>
      <c r="D41" s="91" t="s">
        <v>366</v>
      </c>
      <c r="E41" s="92"/>
      <c r="F41" s="87">
        <v>6566267.25</v>
      </c>
      <c r="G41" s="87">
        <v>0</v>
      </c>
      <c r="H41" s="10"/>
    </row>
    <row r="42" ht="21" spans="2:12">
      <c r="B42" s="5"/>
      <c r="C42" s="88"/>
      <c r="D42" s="91"/>
      <c r="E42" s="92"/>
      <c r="F42" s="87"/>
      <c r="G42" s="87"/>
      <c r="H42" s="10"/>
      <c r="L42" s="142">
        <v>7133653.25</v>
      </c>
    </row>
    <row r="43" ht="7.8" customHeight="1" spans="2:12">
      <c r="B43" s="5"/>
      <c r="C43" s="93"/>
      <c r="D43" s="94"/>
      <c r="E43" s="95"/>
      <c r="F43" s="96"/>
      <c r="G43" s="97"/>
      <c r="H43" s="10"/>
      <c r="L43" s="142"/>
    </row>
    <row r="44" ht="19.2" customHeight="1" spans="2:12">
      <c r="B44" s="5"/>
      <c r="C44" s="79" t="s">
        <v>20</v>
      </c>
      <c r="D44" s="98" t="s">
        <v>141</v>
      </c>
      <c r="E44" s="81"/>
      <c r="F44" s="82"/>
      <c r="G44" s="99"/>
      <c r="H44" s="10"/>
      <c r="L44" s="142">
        <v>14509106.75</v>
      </c>
    </row>
    <row r="45" ht="22.5" spans="2:12">
      <c r="B45" s="5"/>
      <c r="C45" s="93">
        <v>45119</v>
      </c>
      <c r="D45" s="151" t="s">
        <v>367</v>
      </c>
      <c r="E45" s="101"/>
      <c r="F45" s="102">
        <v>7442604</v>
      </c>
      <c r="G45" s="103"/>
      <c r="H45" s="10"/>
      <c r="L45" s="142">
        <v>14509106.75</v>
      </c>
    </row>
    <row r="46" ht="22.5" spans="2:12">
      <c r="B46" s="5"/>
      <c r="C46" s="104"/>
      <c r="D46" s="105"/>
      <c r="E46" s="106" t="s">
        <v>25</v>
      </c>
      <c r="F46" s="107">
        <f>F45-SUM(F40:F42)</f>
        <v>876336.75</v>
      </c>
      <c r="G46" s="108"/>
      <c r="H46" s="10"/>
      <c r="L46" s="141">
        <f>F42+G42+3866346.75</f>
        <v>3866346.75</v>
      </c>
    </row>
    <row r="47" ht="10.2" customHeight="1" spans="2:8">
      <c r="B47" s="5"/>
      <c r="C47" s="109"/>
      <c r="D47" s="66"/>
      <c r="E47" s="66"/>
      <c r="F47" s="66"/>
      <c r="G47" s="110"/>
      <c r="H47" s="10"/>
    </row>
    <row r="48" ht="21.75" spans="2:12">
      <c r="B48" s="5"/>
      <c r="C48" s="111" t="s">
        <v>26</v>
      </c>
      <c r="D48" s="112"/>
      <c r="E48" s="112"/>
      <c r="F48" s="113">
        <f>F35+F45</f>
        <v>336250836.75</v>
      </c>
      <c r="G48" s="114">
        <f>G4-F48</f>
        <v>416879756.305</v>
      </c>
      <c r="H48" s="10"/>
      <c r="L48" s="143">
        <v>3064367.25</v>
      </c>
    </row>
    <row r="49" ht="21" spans="2:12">
      <c r="B49" s="5"/>
      <c r="C49" s="115" t="s">
        <v>27</v>
      </c>
      <c r="D49" s="116"/>
      <c r="E49" s="34"/>
      <c r="F49" s="117"/>
      <c r="G49" s="56"/>
      <c r="H49" s="10"/>
      <c r="L49" s="1">
        <f>5324450+3191882.75+6419300</f>
        <v>14935632.75</v>
      </c>
    </row>
    <row r="50" ht="22.5" spans="2:12">
      <c r="B50" s="5"/>
      <c r="C50" s="118" t="s">
        <v>28</v>
      </c>
      <c r="D50" s="119" t="s">
        <v>1</v>
      </c>
      <c r="E50" s="120">
        <f>F46</f>
        <v>876336.75</v>
      </c>
      <c r="F50" s="117"/>
      <c r="G50" s="56"/>
      <c r="H50" s="10"/>
      <c r="L50" s="1">
        <v>11659317.25</v>
      </c>
    </row>
    <row r="51" ht="21" spans="2:8">
      <c r="B51" s="5"/>
      <c r="C51" s="118" t="s">
        <v>29</v>
      </c>
      <c r="D51" s="119" t="s">
        <v>1</v>
      </c>
      <c r="E51" s="121" t="s">
        <v>30</v>
      </c>
      <c r="F51" s="117"/>
      <c r="G51" s="56"/>
      <c r="H51" s="10"/>
    </row>
    <row r="52" ht="21" spans="2:8">
      <c r="B52" s="5"/>
      <c r="C52" s="122" t="s">
        <v>31</v>
      </c>
      <c r="D52" s="123" t="s">
        <v>1</v>
      </c>
      <c r="E52" s="124" t="s">
        <v>32</v>
      </c>
      <c r="F52" s="125" t="s">
        <v>50</v>
      </c>
      <c r="G52" s="126"/>
      <c r="H52" s="10"/>
    </row>
    <row r="53" ht="6" customHeight="1" spans="2:8">
      <c r="B53" s="127"/>
      <c r="C53" s="128"/>
      <c r="D53" s="128"/>
      <c r="E53" s="128"/>
      <c r="F53" s="128"/>
      <c r="G53" s="128"/>
      <c r="H53" s="129"/>
    </row>
    <row r="54" ht="19.5" spans="3:7">
      <c r="C54" s="130"/>
      <c r="D54" s="130"/>
      <c r="E54" s="130"/>
      <c r="F54" s="130"/>
      <c r="G54" s="130"/>
    </row>
    <row r="55" ht="19.5" spans="3:7">
      <c r="C55" s="131" t="s">
        <v>34</v>
      </c>
      <c r="D55" s="132"/>
      <c r="E55" s="133"/>
      <c r="F55" s="134"/>
      <c r="G55" s="130"/>
    </row>
    <row r="56" ht="19.5" spans="3:7">
      <c r="C56" s="131"/>
      <c r="D56" s="132"/>
      <c r="E56" s="133"/>
      <c r="F56" s="135" t="s">
        <v>35</v>
      </c>
      <c r="G56" s="136">
        <v>15000000</v>
      </c>
    </row>
    <row r="57" ht="19.5" spans="3:7">
      <c r="C57" s="131" t="s">
        <v>36</v>
      </c>
      <c r="D57" s="132"/>
      <c r="E57" s="133">
        <v>75313059305.5</v>
      </c>
      <c r="F57" s="137" t="s">
        <v>37</v>
      </c>
      <c r="G57" s="138"/>
    </row>
    <row r="58" ht="19.5" spans="3:7">
      <c r="C58" s="139">
        <v>0.01</v>
      </c>
      <c r="D58" s="132"/>
      <c r="E58" s="133">
        <f>E57*C58</f>
        <v>753130593.055</v>
      </c>
      <c r="F58" s="137" t="s">
        <v>38</v>
      </c>
      <c r="G58" s="140"/>
    </row>
    <row r="59" ht="19.5" spans="3:7">
      <c r="C59" s="130"/>
      <c r="D59" s="130"/>
      <c r="E59" s="130"/>
      <c r="F59" s="130"/>
      <c r="G59" s="130"/>
    </row>
    <row r="60" ht="19.5" spans="3:7">
      <c r="C60" s="130"/>
      <c r="D60" s="130"/>
      <c r="E60" s="130"/>
      <c r="F60" s="130"/>
      <c r="G60" s="130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0"/>
  <sheetViews>
    <sheetView view="pageBreakPreview" zoomScale="89" zoomScaleNormal="85" topLeftCell="A25" workbookViewId="0">
      <selection activeCell="D42" sqref="D42:E4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368</v>
      </c>
      <c r="F4" s="6" t="s">
        <v>3</v>
      </c>
      <c r="G4" s="9">
        <f>+E58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F48</f>
        <v>344658836.75</v>
      </c>
      <c r="H5" s="10"/>
    </row>
    <row r="6" ht="22.5" spans="2:8">
      <c r="B6" s="5"/>
      <c r="C6" s="11" t="s">
        <v>7</v>
      </c>
      <c r="D6" s="12" t="s">
        <v>1</v>
      </c>
      <c r="E6" s="15" t="s">
        <v>369</v>
      </c>
      <c r="F6" s="11" t="s">
        <v>9</v>
      </c>
      <c r="G6" s="14">
        <f>G4-G5</f>
        <v>408471756.305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0.542365109148036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37.8" customHeight="1" spans="2:8">
      <c r="B13" s="5"/>
      <c r="C13" s="42"/>
      <c r="D13" s="44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8"/>
      <c r="H32" s="10"/>
    </row>
    <row r="33" ht="21" spans="2:12">
      <c r="B33" s="5"/>
      <c r="C33" s="51"/>
      <c r="D33" s="52" t="s">
        <v>371</v>
      </c>
      <c r="E33" s="53"/>
      <c r="F33" s="54"/>
      <c r="G33" s="60"/>
      <c r="H33" s="10"/>
      <c r="L33" s="87">
        <v>9433732.75</v>
      </c>
    </row>
    <row r="34" ht="5.4" customHeight="1" spans="2:8">
      <c r="B34" s="5"/>
      <c r="C34" s="61"/>
      <c r="D34" s="62"/>
      <c r="E34" s="62"/>
      <c r="F34" s="63"/>
      <c r="G34" s="64"/>
      <c r="H34" s="10"/>
    </row>
    <row r="35" ht="22.5" spans="2:8">
      <c r="B35" s="5"/>
      <c r="C35" s="65"/>
      <c r="D35" s="66"/>
      <c r="E35" s="67" t="s">
        <v>18</v>
      </c>
      <c r="F35" s="68">
        <f>SUM(F12:F33)</f>
        <v>336250836.75</v>
      </c>
      <c r="G35" s="69">
        <f>G4-F35</f>
        <v>416879756.305</v>
      </c>
      <c r="H35" s="10"/>
    </row>
    <row r="36" ht="5.4" customHeight="1" spans="2:8">
      <c r="B36" s="5"/>
      <c r="C36" s="70"/>
      <c r="D36" s="71"/>
      <c r="E36" s="72"/>
      <c r="F36" s="73"/>
      <c r="G36" s="74"/>
      <c r="H36" s="10"/>
    </row>
    <row r="37" ht="22.5" spans="2:12">
      <c r="B37" s="5"/>
      <c r="C37" s="75"/>
      <c r="D37" s="28" t="s">
        <v>132</v>
      </c>
      <c r="E37" s="76"/>
      <c r="F37" s="77">
        <v>0</v>
      </c>
      <c r="G37" s="78"/>
      <c r="H37" s="10"/>
      <c r="L37" s="1">
        <f>282+11</f>
        <v>293</v>
      </c>
    </row>
    <row r="38" ht="6" customHeight="1" spans="2:8">
      <c r="B38" s="5"/>
      <c r="C38" s="75"/>
      <c r="D38" s="28"/>
      <c r="E38" s="76"/>
      <c r="F38" s="77"/>
      <c r="G38" s="78"/>
      <c r="H38" s="10"/>
    </row>
    <row r="39" ht="21" spans="2:12">
      <c r="B39" s="5"/>
      <c r="C39" s="79" t="s">
        <v>20</v>
      </c>
      <c r="D39" s="80" t="s">
        <v>133</v>
      </c>
      <c r="E39" s="81"/>
      <c r="F39" s="82" t="s">
        <v>134</v>
      </c>
      <c r="G39" s="83" t="s">
        <v>135</v>
      </c>
      <c r="H39" s="10"/>
      <c r="L39" s="141">
        <v>13550567.25</v>
      </c>
    </row>
    <row r="40" ht="21" spans="2:12">
      <c r="B40" s="5"/>
      <c r="C40" s="79"/>
      <c r="D40" s="152" t="s">
        <v>372</v>
      </c>
      <c r="E40" s="85"/>
      <c r="F40" s="86">
        <v>0</v>
      </c>
      <c r="G40" s="87">
        <v>0</v>
      </c>
      <c r="H40" s="10"/>
      <c r="L40" s="1">
        <v>5837917.25</v>
      </c>
    </row>
    <row r="41" ht="19.8" customHeight="1" spans="2:8">
      <c r="B41" s="5"/>
      <c r="C41" s="88" t="s">
        <v>352</v>
      </c>
      <c r="D41" s="91" t="s">
        <v>373</v>
      </c>
      <c r="E41" s="92"/>
      <c r="F41" s="87">
        <v>8000000</v>
      </c>
      <c r="G41" s="87">
        <v>0</v>
      </c>
      <c r="H41" s="10"/>
    </row>
    <row r="42" ht="21" spans="2:12">
      <c r="B42" s="5"/>
      <c r="C42" s="88"/>
      <c r="D42" s="91"/>
      <c r="E42" s="92"/>
      <c r="F42" s="87"/>
      <c r="G42" s="87"/>
      <c r="H42" s="10"/>
      <c r="L42" s="142">
        <v>7133653.25</v>
      </c>
    </row>
    <row r="43" ht="7.8" customHeight="1" spans="2:12">
      <c r="B43" s="5"/>
      <c r="C43" s="93"/>
      <c r="D43" s="94"/>
      <c r="E43" s="95"/>
      <c r="F43" s="96"/>
      <c r="G43" s="97"/>
      <c r="H43" s="10"/>
      <c r="L43" s="142"/>
    </row>
    <row r="44" ht="19.2" customHeight="1" spans="2:12">
      <c r="B44" s="5"/>
      <c r="C44" s="79" t="s">
        <v>20</v>
      </c>
      <c r="D44" s="98" t="s">
        <v>141</v>
      </c>
      <c r="E44" s="81"/>
      <c r="F44" s="82"/>
      <c r="G44" s="99"/>
      <c r="H44" s="10"/>
      <c r="L44" s="142">
        <v>14509106.75</v>
      </c>
    </row>
    <row r="45" ht="22.5" spans="2:12">
      <c r="B45" s="5"/>
      <c r="C45" s="93">
        <v>45138</v>
      </c>
      <c r="D45" s="151" t="s">
        <v>374</v>
      </c>
      <c r="E45" s="101"/>
      <c r="F45" s="102">
        <v>8408000</v>
      </c>
      <c r="G45" s="103"/>
      <c r="H45" s="10"/>
      <c r="L45" s="142">
        <v>14509106.75</v>
      </c>
    </row>
    <row r="46" ht="22.5" spans="2:12">
      <c r="B46" s="5"/>
      <c r="C46" s="104"/>
      <c r="D46" s="105"/>
      <c r="E46" s="106" t="s">
        <v>25</v>
      </c>
      <c r="F46" s="107">
        <f>F45-SUM(F40:F42)</f>
        <v>408000</v>
      </c>
      <c r="G46" s="108"/>
      <c r="H46" s="10"/>
      <c r="L46" s="141">
        <f>F42+G42+3866346.75</f>
        <v>3866346.75</v>
      </c>
    </row>
    <row r="47" ht="10.2" customHeight="1" spans="2:8">
      <c r="B47" s="5"/>
      <c r="C47" s="109"/>
      <c r="D47" s="66"/>
      <c r="E47" s="66"/>
      <c r="F47" s="66"/>
      <c r="G47" s="110"/>
      <c r="H47" s="10"/>
    </row>
    <row r="48" ht="21.75" spans="2:12">
      <c r="B48" s="5"/>
      <c r="C48" s="111" t="s">
        <v>26</v>
      </c>
      <c r="D48" s="112"/>
      <c r="E48" s="112"/>
      <c r="F48" s="113">
        <f>F35+F45</f>
        <v>344658836.75</v>
      </c>
      <c r="G48" s="114">
        <f>G4-F48</f>
        <v>408471756.305</v>
      </c>
      <c r="H48" s="10"/>
      <c r="L48" s="143">
        <v>3064367.25</v>
      </c>
    </row>
    <row r="49" ht="21" spans="2:12">
      <c r="B49" s="5"/>
      <c r="C49" s="115" t="s">
        <v>27</v>
      </c>
      <c r="D49" s="116"/>
      <c r="E49" s="34"/>
      <c r="F49" s="117"/>
      <c r="G49" s="56"/>
      <c r="H49" s="10"/>
      <c r="L49" s="1">
        <f>5324450+3191882.75+6419300</f>
        <v>14935632.75</v>
      </c>
    </row>
    <row r="50" ht="22.5" spans="2:12">
      <c r="B50" s="5"/>
      <c r="C50" s="118" t="s">
        <v>28</v>
      </c>
      <c r="D50" s="119" t="s">
        <v>1</v>
      </c>
      <c r="E50" s="120">
        <f>F46</f>
        <v>408000</v>
      </c>
      <c r="F50" s="117"/>
      <c r="G50" s="56"/>
      <c r="H50" s="10"/>
      <c r="L50" s="1">
        <v>11659317.25</v>
      </c>
    </row>
    <row r="51" ht="21" spans="2:8">
      <c r="B51" s="5"/>
      <c r="C51" s="118" t="s">
        <v>29</v>
      </c>
      <c r="D51" s="119" t="s">
        <v>1</v>
      </c>
      <c r="E51" s="121" t="s">
        <v>30</v>
      </c>
      <c r="F51" s="117"/>
      <c r="G51" s="56"/>
      <c r="H51" s="10"/>
    </row>
    <row r="52" ht="21" spans="2:8">
      <c r="B52" s="5"/>
      <c r="C52" s="122" t="s">
        <v>31</v>
      </c>
      <c r="D52" s="123" t="s">
        <v>1</v>
      </c>
      <c r="E52" s="124" t="s">
        <v>32</v>
      </c>
      <c r="F52" s="125" t="s">
        <v>50</v>
      </c>
      <c r="G52" s="126"/>
      <c r="H52" s="10"/>
    </row>
    <row r="53" ht="6" customHeight="1" spans="2:8">
      <c r="B53" s="127"/>
      <c r="C53" s="128"/>
      <c r="D53" s="128"/>
      <c r="E53" s="128"/>
      <c r="F53" s="128"/>
      <c r="G53" s="128"/>
      <c r="H53" s="129"/>
    </row>
    <row r="54" ht="19.5" spans="3:7">
      <c r="C54" s="130"/>
      <c r="D54" s="130"/>
      <c r="E54" s="130"/>
      <c r="F54" s="130"/>
      <c r="G54" s="130"/>
    </row>
    <row r="55" ht="19.5" spans="3:7">
      <c r="C55" s="131" t="s">
        <v>34</v>
      </c>
      <c r="D55" s="132"/>
      <c r="E55" s="133"/>
      <c r="F55" s="134"/>
      <c r="G55" s="130"/>
    </row>
    <row r="56" ht="19.5" spans="3:7">
      <c r="C56" s="131"/>
      <c r="D56" s="132"/>
      <c r="E56" s="133"/>
      <c r="F56" s="135" t="s">
        <v>35</v>
      </c>
      <c r="G56" s="136">
        <v>15000000</v>
      </c>
    </row>
    <row r="57" ht="19.5" spans="3:7">
      <c r="C57" s="131" t="s">
        <v>36</v>
      </c>
      <c r="D57" s="132"/>
      <c r="E57" s="133">
        <v>75313059305.5</v>
      </c>
      <c r="F57" s="137" t="s">
        <v>37</v>
      </c>
      <c r="G57" s="138"/>
    </row>
    <row r="58" ht="19.5" spans="3:7">
      <c r="C58" s="139">
        <v>0.01</v>
      </c>
      <c r="D58" s="132"/>
      <c r="E58" s="133">
        <f>E57*C58</f>
        <v>753130593.055</v>
      </c>
      <c r="F58" s="137" t="s">
        <v>38</v>
      </c>
      <c r="G58" s="140"/>
    </row>
    <row r="59" ht="19.5" spans="3:7">
      <c r="C59" s="130"/>
      <c r="D59" s="130"/>
      <c r="E59" s="130"/>
      <c r="F59" s="130"/>
      <c r="G59" s="130"/>
    </row>
    <row r="60" ht="19.5" spans="3:7">
      <c r="C60" s="130"/>
      <c r="D60" s="130"/>
      <c r="E60" s="130"/>
      <c r="F60" s="130"/>
      <c r="G60" s="130"/>
    </row>
  </sheetData>
  <mergeCells count="34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7:E37"/>
    <mergeCell ref="D39:E39"/>
    <mergeCell ref="D40:E40"/>
    <mergeCell ref="D41:E41"/>
    <mergeCell ref="D42:E42"/>
    <mergeCell ref="D44:E44"/>
    <mergeCell ref="D45:E45"/>
    <mergeCell ref="C48:E48"/>
    <mergeCell ref="F52:G52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0" workbookViewId="0">
      <selection activeCell="D43" sqref="D43:E4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375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346481836.75</v>
      </c>
      <c r="H5" s="10"/>
    </row>
    <row r="6" ht="22.5" spans="2:8">
      <c r="B6" s="5"/>
      <c r="C6" s="11" t="s">
        <v>7</v>
      </c>
      <c r="D6" s="12" t="s">
        <v>1</v>
      </c>
      <c r="E6" s="15" t="s">
        <v>376</v>
      </c>
      <c r="F6" s="11" t="s">
        <v>9</v>
      </c>
      <c r="G6" s="14">
        <f>G4-G5</f>
        <v>406648756.305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0.539944546211394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12">
      <c r="B34" s="5"/>
      <c r="C34" s="47" t="s">
        <v>377</v>
      </c>
      <c r="D34" s="48" t="s">
        <v>378</v>
      </c>
      <c r="E34" s="49"/>
      <c r="F34" s="50">
        <f>+LK.43!F45</f>
        <v>8408000</v>
      </c>
      <c r="G34" s="58"/>
      <c r="H34" s="10"/>
      <c r="L34" s="1">
        <f>318500000+8000000</f>
        <v>326500000</v>
      </c>
    </row>
    <row r="35" ht="21" spans="2:12">
      <c r="B35" s="5"/>
      <c r="C35" s="51"/>
      <c r="D35" s="52" t="s">
        <v>379</v>
      </c>
      <c r="E35" s="53"/>
      <c r="F35" s="54"/>
      <c r="G35" s="60"/>
      <c r="H35" s="10"/>
      <c r="L35" s="87">
        <v>9433732.75</v>
      </c>
    </row>
    <row r="36" ht="5.4" customHeight="1" spans="2:8">
      <c r="B36" s="5"/>
      <c r="C36" s="61"/>
      <c r="D36" s="62"/>
      <c r="E36" s="62"/>
      <c r="F36" s="63"/>
      <c r="G36" s="64"/>
      <c r="H36" s="10"/>
    </row>
    <row r="37" ht="22.5" spans="2:8">
      <c r="B37" s="5"/>
      <c r="C37" s="65"/>
      <c r="D37" s="66"/>
      <c r="E37" s="67" t="s">
        <v>18</v>
      </c>
      <c r="F37" s="68">
        <f>SUM(F12:F35)</f>
        <v>344658836.75</v>
      </c>
      <c r="G37" s="69">
        <f>G4-F37</f>
        <v>408471756.305</v>
      </c>
      <c r="H37" s="10"/>
    </row>
    <row r="38" ht="5.4" customHeight="1" spans="2:8">
      <c r="B38" s="5"/>
      <c r="C38" s="70"/>
      <c r="D38" s="71"/>
      <c r="E38" s="72"/>
      <c r="F38" s="73"/>
      <c r="G38" s="74"/>
      <c r="H38" s="10"/>
    </row>
    <row r="39" ht="22.5" spans="2:12">
      <c r="B39" s="5"/>
      <c r="C39" s="75"/>
      <c r="D39" s="28" t="s">
        <v>132</v>
      </c>
      <c r="E39" s="76"/>
      <c r="F39" s="77">
        <v>0</v>
      </c>
      <c r="G39" s="78"/>
      <c r="H39" s="10"/>
      <c r="L39" s="1">
        <f>282+11</f>
        <v>293</v>
      </c>
    </row>
    <row r="40" ht="6" customHeight="1" spans="2:8">
      <c r="B40" s="5"/>
      <c r="C40" s="75"/>
      <c r="D40" s="28"/>
      <c r="E40" s="76"/>
      <c r="F40" s="77"/>
      <c r="G40" s="78"/>
      <c r="H40" s="10"/>
    </row>
    <row r="41" ht="21" spans="2:12">
      <c r="B41" s="5"/>
      <c r="C41" s="79" t="s">
        <v>20</v>
      </c>
      <c r="D41" s="80" t="s">
        <v>133</v>
      </c>
      <c r="E41" s="81"/>
      <c r="F41" s="82" t="s">
        <v>134</v>
      </c>
      <c r="G41" s="83" t="s">
        <v>135</v>
      </c>
      <c r="H41" s="10"/>
      <c r="L41" s="141">
        <v>13550567.25</v>
      </c>
    </row>
    <row r="42" ht="21" spans="2:12">
      <c r="B42" s="5"/>
      <c r="C42" s="79"/>
      <c r="D42" s="152" t="s">
        <v>380</v>
      </c>
      <c r="E42" s="85"/>
      <c r="F42" s="86">
        <v>0</v>
      </c>
      <c r="G42" s="87">
        <v>0</v>
      </c>
      <c r="H42" s="10"/>
      <c r="L42" s="1">
        <v>5837917.25</v>
      </c>
    </row>
    <row r="43" ht="19.8" customHeight="1" spans="2:8">
      <c r="B43" s="5"/>
      <c r="C43" s="88"/>
      <c r="D43" s="91"/>
      <c r="E43" s="92"/>
      <c r="F43" s="87"/>
      <c r="G43" s="87"/>
      <c r="H43" s="10"/>
    </row>
    <row r="44" ht="21" spans="2:12">
      <c r="B44" s="5"/>
      <c r="C44" s="88"/>
      <c r="D44" s="91"/>
      <c r="E44" s="92"/>
      <c r="F44" s="87"/>
      <c r="G44" s="87"/>
      <c r="H44" s="10"/>
      <c r="L44" s="142">
        <v>7133653.25</v>
      </c>
    </row>
    <row r="45" ht="7.8" customHeight="1" spans="2:12">
      <c r="B45" s="5"/>
      <c r="C45" s="93"/>
      <c r="D45" s="94"/>
      <c r="E45" s="95"/>
      <c r="F45" s="96"/>
      <c r="G45" s="97"/>
      <c r="H45" s="10"/>
      <c r="L45" s="142"/>
    </row>
    <row r="46" ht="19.2" customHeight="1" spans="2:12">
      <c r="B46" s="5"/>
      <c r="C46" s="79" t="s">
        <v>20</v>
      </c>
      <c r="D46" s="98" t="s">
        <v>141</v>
      </c>
      <c r="E46" s="81"/>
      <c r="F46" s="82"/>
      <c r="G46" s="99"/>
      <c r="H46" s="10"/>
      <c r="L46" s="142">
        <v>14509106.75</v>
      </c>
    </row>
    <row r="47" ht="22.5" spans="2:12">
      <c r="B47" s="5"/>
      <c r="C47" s="93">
        <v>45147</v>
      </c>
      <c r="D47" s="151" t="s">
        <v>381</v>
      </c>
      <c r="E47" s="101"/>
      <c r="F47" s="102">
        <v>1823000</v>
      </c>
      <c r="G47" s="103"/>
      <c r="H47" s="10"/>
      <c r="L47" s="142">
        <v>14509106.75</v>
      </c>
    </row>
    <row r="48" ht="22.5" spans="2:12">
      <c r="B48" s="5"/>
      <c r="C48" s="104"/>
      <c r="D48" s="105"/>
      <c r="E48" s="106" t="s">
        <v>25</v>
      </c>
      <c r="F48" s="107">
        <f>F47-SUM(F42:F44)</f>
        <v>1823000</v>
      </c>
      <c r="G48" s="108"/>
      <c r="H48" s="10"/>
      <c r="L48" s="141">
        <f>F44+G44+3866346.75</f>
        <v>3866346.75</v>
      </c>
    </row>
    <row r="49" ht="10.2" customHeight="1" spans="2:8">
      <c r="B49" s="5"/>
      <c r="C49" s="109"/>
      <c r="D49" s="66"/>
      <c r="E49" s="66"/>
      <c r="F49" s="66"/>
      <c r="G49" s="110"/>
      <c r="H49" s="10"/>
    </row>
    <row r="50" ht="21.75" spans="2:12">
      <c r="B50" s="5"/>
      <c r="C50" s="111" t="s">
        <v>26</v>
      </c>
      <c r="D50" s="112"/>
      <c r="E50" s="112"/>
      <c r="F50" s="113">
        <f>F37+F47</f>
        <v>346481836.75</v>
      </c>
      <c r="G50" s="114">
        <f>G4-F50</f>
        <v>406648756.305</v>
      </c>
      <c r="H50" s="10"/>
      <c r="L50" s="143">
        <v>3064367.25</v>
      </c>
    </row>
    <row r="51" ht="21" spans="2:12">
      <c r="B51" s="5"/>
      <c r="C51" s="115" t="s">
        <v>27</v>
      </c>
      <c r="D51" s="116"/>
      <c r="E51" s="34"/>
      <c r="F51" s="117"/>
      <c r="G51" s="56"/>
      <c r="H51" s="10"/>
      <c r="L51" s="1">
        <f>5324450+3191882.75+6419300</f>
        <v>14935632.75</v>
      </c>
    </row>
    <row r="52" ht="22.5" spans="2:12">
      <c r="B52" s="5"/>
      <c r="C52" s="118" t="s">
        <v>28</v>
      </c>
      <c r="D52" s="119" t="s">
        <v>1</v>
      </c>
      <c r="E52" s="120">
        <f>F48</f>
        <v>1823000</v>
      </c>
      <c r="F52" s="117"/>
      <c r="G52" s="56"/>
      <c r="H52" s="10"/>
      <c r="L52" s="1">
        <v>11659317.25</v>
      </c>
    </row>
    <row r="53" ht="21" spans="2:8">
      <c r="B53" s="5"/>
      <c r="C53" s="118" t="s">
        <v>29</v>
      </c>
      <c r="D53" s="119" t="s">
        <v>1</v>
      </c>
      <c r="E53" s="121" t="s">
        <v>30</v>
      </c>
      <c r="F53" s="117"/>
      <c r="G53" s="56"/>
      <c r="H53" s="10"/>
    </row>
    <row r="54" ht="21" spans="2:8">
      <c r="B54" s="5"/>
      <c r="C54" s="122" t="s">
        <v>31</v>
      </c>
      <c r="D54" s="123" t="s">
        <v>1</v>
      </c>
      <c r="E54" s="124" t="s">
        <v>32</v>
      </c>
      <c r="F54" s="125" t="s">
        <v>50</v>
      </c>
      <c r="G54" s="126"/>
      <c r="H54" s="10"/>
    </row>
    <row r="55" ht="6" customHeight="1" spans="2:8">
      <c r="B55" s="127"/>
      <c r="C55" s="128"/>
      <c r="D55" s="128"/>
      <c r="E55" s="128"/>
      <c r="F55" s="128"/>
      <c r="G55" s="128"/>
      <c r="H55" s="129"/>
    </row>
    <row r="56" ht="19.5" spans="3:7">
      <c r="C56" s="130"/>
      <c r="D56" s="130"/>
      <c r="E56" s="130"/>
      <c r="F56" s="130"/>
      <c r="G56" s="130"/>
    </row>
    <row r="57" ht="19.5" spans="3:7">
      <c r="C57" s="131" t="s">
        <v>34</v>
      </c>
      <c r="D57" s="132"/>
      <c r="E57" s="133"/>
      <c r="F57" s="134"/>
      <c r="G57" s="130"/>
    </row>
    <row r="58" ht="19.5" spans="3:7">
      <c r="C58" s="131"/>
      <c r="D58" s="132"/>
      <c r="E58" s="133"/>
      <c r="F58" s="135" t="s">
        <v>35</v>
      </c>
      <c r="G58" s="136">
        <v>15000000</v>
      </c>
    </row>
    <row r="59" ht="19.5" spans="3:7">
      <c r="C59" s="131" t="s">
        <v>36</v>
      </c>
      <c r="D59" s="132"/>
      <c r="E59" s="133">
        <v>75313059305.5</v>
      </c>
      <c r="F59" s="137" t="s">
        <v>37</v>
      </c>
      <c r="G59" s="138"/>
    </row>
    <row r="60" ht="19.5" spans="3:7">
      <c r="C60" s="139">
        <v>0.01</v>
      </c>
      <c r="D60" s="132"/>
      <c r="E60" s="133">
        <f>E59*C60</f>
        <v>753130593.055</v>
      </c>
      <c r="F60" s="137" t="s">
        <v>38</v>
      </c>
      <c r="G60" s="140"/>
    </row>
    <row r="61" ht="19.5" spans="3:7">
      <c r="C61" s="130"/>
      <c r="D61" s="130"/>
      <c r="E61" s="130"/>
      <c r="F61" s="130"/>
      <c r="G61" s="130"/>
    </row>
    <row r="62" ht="19.5" spans="3:7">
      <c r="C62" s="130"/>
      <c r="D62" s="130"/>
      <c r="E62" s="130"/>
      <c r="F62" s="130"/>
      <c r="G62" s="130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3" workbookViewId="0">
      <selection activeCell="D48" sqref="D48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382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350346836.75</v>
      </c>
      <c r="H5" s="10"/>
    </row>
    <row r="6" ht="22.5" spans="2:8">
      <c r="B6" s="5"/>
      <c r="C6" s="11" t="s">
        <v>7</v>
      </c>
      <c r="D6" s="12" t="s">
        <v>1</v>
      </c>
      <c r="E6" s="15" t="s">
        <v>383</v>
      </c>
      <c r="F6" s="11" t="s">
        <v>9</v>
      </c>
      <c r="G6" s="14">
        <f>G4-G5</f>
        <v>402783756.305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0.534812634115881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12">
      <c r="B34" s="5"/>
      <c r="C34" s="47" t="s">
        <v>384</v>
      </c>
      <c r="D34" s="48" t="s">
        <v>385</v>
      </c>
      <c r="E34" s="49"/>
      <c r="F34" s="50">
        <f>+LK.43!F45+LK.44!F47</f>
        <v>10231000</v>
      </c>
      <c r="G34" s="58"/>
      <c r="H34" s="10"/>
      <c r="L34" s="1">
        <f>318500000+8000000</f>
        <v>326500000</v>
      </c>
    </row>
    <row r="35" ht="21" spans="2:12">
      <c r="B35" s="5"/>
      <c r="C35" s="51"/>
      <c r="D35" s="52" t="s">
        <v>386</v>
      </c>
      <c r="E35" s="53"/>
      <c r="F35" s="54"/>
      <c r="G35" s="60"/>
      <c r="H35" s="10"/>
      <c r="L35" s="87">
        <v>9433732.75</v>
      </c>
    </row>
    <row r="36" ht="5.4" customHeight="1" spans="2:8">
      <c r="B36" s="5"/>
      <c r="C36" s="61"/>
      <c r="D36" s="62"/>
      <c r="E36" s="62"/>
      <c r="F36" s="63"/>
      <c r="G36" s="64"/>
      <c r="H36" s="10"/>
    </row>
    <row r="37" ht="22.5" spans="2:8">
      <c r="B37" s="5"/>
      <c r="C37" s="65"/>
      <c r="D37" s="66"/>
      <c r="E37" s="67" t="s">
        <v>18</v>
      </c>
      <c r="F37" s="68">
        <f>SUM(F12:F35)</f>
        <v>346481836.75</v>
      </c>
      <c r="G37" s="69">
        <f>G4-F37</f>
        <v>406648756.305</v>
      </c>
      <c r="H37" s="10"/>
    </row>
    <row r="38" ht="5.4" customHeight="1" spans="2:8">
      <c r="B38" s="5"/>
      <c r="C38" s="70"/>
      <c r="D38" s="71"/>
      <c r="E38" s="72"/>
      <c r="F38" s="73"/>
      <c r="G38" s="74"/>
      <c r="H38" s="10"/>
    </row>
    <row r="39" ht="22.5" spans="2:12">
      <c r="B39" s="5"/>
      <c r="C39" s="75"/>
      <c r="D39" s="28" t="s">
        <v>132</v>
      </c>
      <c r="E39" s="76"/>
      <c r="F39" s="77">
        <v>0</v>
      </c>
      <c r="G39" s="78"/>
      <c r="H39" s="10"/>
      <c r="L39" s="1">
        <f>282+11</f>
        <v>293</v>
      </c>
    </row>
    <row r="40" ht="6" customHeight="1" spans="2:8">
      <c r="B40" s="5"/>
      <c r="C40" s="75"/>
      <c r="D40" s="28"/>
      <c r="E40" s="76"/>
      <c r="F40" s="77"/>
      <c r="G40" s="78"/>
      <c r="H40" s="10"/>
    </row>
    <row r="41" ht="21" spans="2:12">
      <c r="B41" s="5"/>
      <c r="C41" s="79" t="s">
        <v>20</v>
      </c>
      <c r="D41" s="80" t="s">
        <v>133</v>
      </c>
      <c r="E41" s="81"/>
      <c r="F41" s="82" t="s">
        <v>134</v>
      </c>
      <c r="G41" s="83" t="s">
        <v>135</v>
      </c>
      <c r="H41" s="10"/>
      <c r="L41" s="141">
        <v>13550567.25</v>
      </c>
    </row>
    <row r="42" ht="21" spans="2:12">
      <c r="B42" s="5"/>
      <c r="C42" s="79"/>
      <c r="D42" s="152" t="s">
        <v>387</v>
      </c>
      <c r="E42" s="85"/>
      <c r="F42" s="86">
        <v>0</v>
      </c>
      <c r="G42" s="87">
        <v>0</v>
      </c>
      <c r="H42" s="10"/>
      <c r="L42" s="1">
        <v>5837917.25</v>
      </c>
    </row>
    <row r="43" ht="19.8" customHeight="1" spans="2:8">
      <c r="B43" s="5"/>
      <c r="C43" s="88">
        <v>45169</v>
      </c>
      <c r="D43" s="89" t="s">
        <v>388</v>
      </c>
      <c r="E43" s="90"/>
      <c r="F43" s="87">
        <v>3865000</v>
      </c>
      <c r="G43" s="87">
        <f>9000000-F43</f>
        <v>5135000</v>
      </c>
      <c r="H43" s="10"/>
    </row>
    <row r="44" ht="21" spans="2:12">
      <c r="B44" s="5"/>
      <c r="C44" s="88"/>
      <c r="D44" s="91"/>
      <c r="E44" s="92"/>
      <c r="F44" s="87"/>
      <c r="G44" s="87"/>
      <c r="H44" s="10"/>
      <c r="L44" s="142">
        <v>7133653.25</v>
      </c>
    </row>
    <row r="45" ht="7.8" customHeight="1" spans="2:12">
      <c r="B45" s="5"/>
      <c r="C45" s="93"/>
      <c r="D45" s="94"/>
      <c r="E45" s="95"/>
      <c r="F45" s="96"/>
      <c r="G45" s="97"/>
      <c r="H45" s="10"/>
      <c r="L45" s="142"/>
    </row>
    <row r="46" ht="19.2" customHeight="1" spans="2:12">
      <c r="B46" s="5"/>
      <c r="C46" s="79" t="s">
        <v>20</v>
      </c>
      <c r="D46" s="98" t="s">
        <v>141</v>
      </c>
      <c r="E46" s="81"/>
      <c r="F46" s="82"/>
      <c r="G46" s="99"/>
      <c r="H46" s="10"/>
      <c r="L46" s="142">
        <v>14509106.75</v>
      </c>
    </row>
    <row r="47" ht="22.5" spans="2:12">
      <c r="B47" s="5"/>
      <c r="C47" s="93">
        <v>45173</v>
      </c>
      <c r="D47" s="151" t="s">
        <v>389</v>
      </c>
      <c r="E47" s="101"/>
      <c r="F47" s="102">
        <v>3865000</v>
      </c>
      <c r="G47" s="103"/>
      <c r="H47" s="10"/>
      <c r="L47" s="142">
        <v>14509106.75</v>
      </c>
    </row>
    <row r="48" ht="22.5" spans="2:12">
      <c r="B48" s="5"/>
      <c r="C48" s="104"/>
      <c r="D48" s="105"/>
      <c r="E48" s="106" t="s">
        <v>25</v>
      </c>
      <c r="F48" s="107">
        <f>F47-SUM(F42:F44)</f>
        <v>0</v>
      </c>
      <c r="G48" s="108"/>
      <c r="H48" s="10"/>
      <c r="L48" s="141">
        <f>F44+G44+3866346.75</f>
        <v>3866346.75</v>
      </c>
    </row>
    <row r="49" ht="10.2" customHeight="1" spans="2:8">
      <c r="B49" s="5"/>
      <c r="C49" s="109"/>
      <c r="D49" s="66"/>
      <c r="E49" s="66"/>
      <c r="F49" s="66"/>
      <c r="G49" s="110"/>
      <c r="H49" s="10"/>
    </row>
    <row r="50" ht="21.75" spans="2:12">
      <c r="B50" s="5"/>
      <c r="C50" s="111" t="s">
        <v>26</v>
      </c>
      <c r="D50" s="112"/>
      <c r="E50" s="112"/>
      <c r="F50" s="113">
        <f>F37+F47</f>
        <v>350346836.75</v>
      </c>
      <c r="G50" s="114">
        <f>G4-F50</f>
        <v>402783756.305</v>
      </c>
      <c r="H50" s="10"/>
      <c r="L50" s="143">
        <v>3064367.25</v>
      </c>
    </row>
    <row r="51" ht="21" spans="2:12">
      <c r="B51" s="5"/>
      <c r="C51" s="115" t="s">
        <v>27</v>
      </c>
      <c r="D51" s="116"/>
      <c r="E51" s="34"/>
      <c r="F51" s="117"/>
      <c r="G51" s="56"/>
      <c r="H51" s="10"/>
      <c r="L51" s="1">
        <f>5324450+3191882.75+6419300</f>
        <v>14935632.75</v>
      </c>
    </row>
    <row r="52" ht="22.5" spans="2:12">
      <c r="B52" s="5"/>
      <c r="C52" s="118" t="s">
        <v>28</v>
      </c>
      <c r="D52" s="119" t="s">
        <v>1</v>
      </c>
      <c r="E52" s="120">
        <f>F48</f>
        <v>0</v>
      </c>
      <c r="F52" s="117"/>
      <c r="G52" s="56"/>
      <c r="H52" s="10"/>
      <c r="L52" s="1">
        <v>11659317.25</v>
      </c>
    </row>
    <row r="53" ht="21" spans="2:8">
      <c r="B53" s="5"/>
      <c r="C53" s="118" t="s">
        <v>29</v>
      </c>
      <c r="D53" s="119" t="s">
        <v>1</v>
      </c>
      <c r="E53" s="121" t="s">
        <v>30</v>
      </c>
      <c r="F53" s="117"/>
      <c r="G53" s="56"/>
      <c r="H53" s="10"/>
    </row>
    <row r="54" ht="21" spans="2:8">
      <c r="B54" s="5"/>
      <c r="C54" s="122" t="s">
        <v>31</v>
      </c>
      <c r="D54" s="123" t="s">
        <v>1</v>
      </c>
      <c r="E54" s="124" t="s">
        <v>32</v>
      </c>
      <c r="F54" s="125" t="s">
        <v>50</v>
      </c>
      <c r="G54" s="126"/>
      <c r="H54" s="10"/>
    </row>
    <row r="55" ht="6" customHeight="1" spans="2:8">
      <c r="B55" s="127"/>
      <c r="C55" s="128"/>
      <c r="D55" s="128"/>
      <c r="E55" s="128"/>
      <c r="F55" s="128"/>
      <c r="G55" s="128"/>
      <c r="H55" s="129"/>
    </row>
    <row r="56" ht="19.5" spans="3:7">
      <c r="C56" s="130"/>
      <c r="D56" s="130"/>
      <c r="E56" s="130"/>
      <c r="F56" s="130"/>
      <c r="G56" s="130"/>
    </row>
    <row r="57" ht="19.5" spans="3:7">
      <c r="C57" s="131" t="s">
        <v>34</v>
      </c>
      <c r="D57" s="132"/>
      <c r="E57" s="133"/>
      <c r="F57" s="134"/>
      <c r="G57" s="130"/>
    </row>
    <row r="58" ht="19.5" spans="3:7">
      <c r="C58" s="131"/>
      <c r="D58" s="132"/>
      <c r="E58" s="133"/>
      <c r="F58" s="135" t="s">
        <v>35</v>
      </c>
      <c r="G58" s="136">
        <v>15000000</v>
      </c>
    </row>
    <row r="59" ht="19.5" spans="3:7">
      <c r="C59" s="131" t="s">
        <v>36</v>
      </c>
      <c r="D59" s="132"/>
      <c r="E59" s="133">
        <v>75313059305.5</v>
      </c>
      <c r="F59" s="137" t="s">
        <v>37</v>
      </c>
      <c r="G59" s="138"/>
    </row>
    <row r="60" ht="19.5" spans="3:7">
      <c r="C60" s="139">
        <v>0.01</v>
      </c>
      <c r="D60" s="132"/>
      <c r="E60" s="133">
        <f>E59*C60</f>
        <v>753130593.055</v>
      </c>
      <c r="F60" s="137" t="s">
        <v>38</v>
      </c>
      <c r="G60" s="140"/>
    </row>
    <row r="61" ht="19.5" spans="3:7">
      <c r="C61" s="130"/>
      <c r="D61" s="130"/>
      <c r="E61" s="130"/>
      <c r="F61" s="130"/>
      <c r="G61" s="130"/>
    </row>
    <row r="62" ht="19.5" spans="3:7">
      <c r="C62" s="130"/>
      <c r="D62" s="130"/>
      <c r="E62" s="130"/>
      <c r="F62" s="130"/>
      <c r="G62" s="130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4" workbookViewId="0">
      <selection activeCell="E45" sqref="E4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390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355381036.75</v>
      </c>
      <c r="H5" s="10"/>
    </row>
    <row r="6" ht="22.5" spans="2:8">
      <c r="B6" s="5"/>
      <c r="C6" s="11" t="s">
        <v>7</v>
      </c>
      <c r="D6" s="12" t="s">
        <v>1</v>
      </c>
      <c r="E6" s="15" t="s">
        <v>391</v>
      </c>
      <c r="F6" s="11" t="s">
        <v>9</v>
      </c>
      <c r="G6" s="14">
        <f>G4-G5</f>
        <v>397749556.305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0.528128268819314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12">
      <c r="B34" s="5"/>
      <c r="C34" s="47" t="s">
        <v>392</v>
      </c>
      <c r="D34" s="48" t="s">
        <v>393</v>
      </c>
      <c r="E34" s="49"/>
      <c r="F34" s="50">
        <f>+LK.43!F45+LK.44!F47+LK.45!F47</f>
        <v>14096000</v>
      </c>
      <c r="G34" s="58"/>
      <c r="H34" s="10"/>
      <c r="L34" s="1">
        <f>318500000+8000000</f>
        <v>326500000</v>
      </c>
    </row>
    <row r="35" ht="21" spans="2:12">
      <c r="B35" s="5"/>
      <c r="C35" s="51"/>
      <c r="D35" s="52" t="s">
        <v>394</v>
      </c>
      <c r="E35" s="53"/>
      <c r="F35" s="54"/>
      <c r="G35" s="60"/>
      <c r="H35" s="10"/>
      <c r="L35" s="87">
        <v>9433732.75</v>
      </c>
    </row>
    <row r="36" ht="5.4" customHeight="1" spans="2:8">
      <c r="B36" s="5"/>
      <c r="C36" s="61"/>
      <c r="D36" s="62"/>
      <c r="E36" s="62"/>
      <c r="F36" s="63"/>
      <c r="G36" s="64"/>
      <c r="H36" s="10"/>
    </row>
    <row r="37" ht="22.5" spans="2:8">
      <c r="B37" s="5"/>
      <c r="C37" s="65"/>
      <c r="D37" s="66"/>
      <c r="E37" s="67" t="s">
        <v>18</v>
      </c>
      <c r="F37" s="68">
        <f>SUM(F12:F35)</f>
        <v>350346836.75</v>
      </c>
      <c r="G37" s="69">
        <f>G4-F37</f>
        <v>402783756.305</v>
      </c>
      <c r="H37" s="10"/>
    </row>
    <row r="38" ht="5.4" customHeight="1" spans="2:8">
      <c r="B38" s="5"/>
      <c r="C38" s="70"/>
      <c r="D38" s="71"/>
      <c r="E38" s="72"/>
      <c r="F38" s="73"/>
      <c r="G38" s="74"/>
      <c r="H38" s="10"/>
    </row>
    <row r="39" ht="22.5" spans="2:12">
      <c r="B39" s="5"/>
      <c r="C39" s="75"/>
      <c r="D39" s="28" t="s">
        <v>132</v>
      </c>
      <c r="E39" s="76"/>
      <c r="F39" s="77">
        <v>0</v>
      </c>
      <c r="G39" s="78"/>
      <c r="H39" s="10"/>
      <c r="L39" s="1">
        <f>282+11</f>
        <v>293</v>
      </c>
    </row>
    <row r="40" ht="6" customHeight="1" spans="2:8">
      <c r="B40" s="5"/>
      <c r="C40" s="75"/>
      <c r="D40" s="28"/>
      <c r="E40" s="76"/>
      <c r="F40" s="77"/>
      <c r="G40" s="78"/>
      <c r="H40" s="10"/>
    </row>
    <row r="41" ht="21" spans="2:12">
      <c r="B41" s="5"/>
      <c r="C41" s="79" t="s">
        <v>20</v>
      </c>
      <c r="D41" s="80" t="s">
        <v>133</v>
      </c>
      <c r="E41" s="81"/>
      <c r="F41" s="82" t="s">
        <v>134</v>
      </c>
      <c r="G41" s="83" t="s">
        <v>135</v>
      </c>
      <c r="H41" s="10"/>
      <c r="L41" s="141">
        <v>13550567.25</v>
      </c>
    </row>
    <row r="42" ht="21" spans="2:12">
      <c r="B42" s="5"/>
      <c r="C42" s="79"/>
      <c r="D42" s="152" t="s">
        <v>387</v>
      </c>
      <c r="E42" s="85"/>
      <c r="F42" s="86">
        <v>0</v>
      </c>
      <c r="G42" s="87">
        <v>0</v>
      </c>
      <c r="H42" s="10"/>
      <c r="L42" s="1">
        <v>5837917.25</v>
      </c>
    </row>
    <row r="43" ht="19.8" customHeight="1" spans="2:8">
      <c r="B43" s="5"/>
      <c r="C43" s="88">
        <v>45169</v>
      </c>
      <c r="D43" s="89" t="s">
        <v>395</v>
      </c>
      <c r="E43" s="90"/>
      <c r="F43" s="87">
        <v>5034200</v>
      </c>
      <c r="G43" s="87">
        <f>9000000-F43-3865000</f>
        <v>100800</v>
      </c>
      <c r="H43" s="10"/>
    </row>
    <row r="44" ht="21" spans="2:12">
      <c r="B44" s="5"/>
      <c r="C44" s="88"/>
      <c r="D44" s="91"/>
      <c r="E44" s="92"/>
      <c r="F44" s="87"/>
      <c r="G44" s="87"/>
      <c r="H44" s="10"/>
      <c r="L44" s="142">
        <v>100800</v>
      </c>
    </row>
    <row r="45" ht="7.8" customHeight="1" spans="2:12">
      <c r="B45" s="5"/>
      <c r="C45" s="93"/>
      <c r="D45" s="94"/>
      <c r="E45" s="95"/>
      <c r="F45" s="96"/>
      <c r="G45" s="97"/>
      <c r="H45" s="10"/>
      <c r="L45" s="142"/>
    </row>
    <row r="46" ht="19.2" customHeight="1" spans="2:12">
      <c r="B46" s="5"/>
      <c r="C46" s="79" t="s">
        <v>20</v>
      </c>
      <c r="D46" s="98" t="s">
        <v>141</v>
      </c>
      <c r="E46" s="81"/>
      <c r="F46" s="82"/>
      <c r="G46" s="99"/>
      <c r="H46" s="10"/>
      <c r="L46" s="142">
        <v>14509106.75</v>
      </c>
    </row>
    <row r="47" ht="22.5" spans="2:12">
      <c r="B47" s="5"/>
      <c r="C47" s="93">
        <v>45174</v>
      </c>
      <c r="D47" s="151" t="s">
        <v>396</v>
      </c>
      <c r="E47" s="101"/>
      <c r="F47" s="102">
        <v>5034200</v>
      </c>
      <c r="G47" s="103"/>
      <c r="H47" s="10"/>
      <c r="L47" s="142">
        <v>14509106.75</v>
      </c>
    </row>
    <row r="48" ht="22.5" spans="2:12">
      <c r="B48" s="5"/>
      <c r="C48" s="104"/>
      <c r="D48" s="105"/>
      <c r="E48" s="106" t="s">
        <v>25</v>
      </c>
      <c r="F48" s="107">
        <f>F47-SUM(F42:F44)</f>
        <v>0</v>
      </c>
      <c r="G48" s="108"/>
      <c r="H48" s="10"/>
      <c r="L48" s="141">
        <f>F44+G44+3866346.75</f>
        <v>3866346.75</v>
      </c>
    </row>
    <row r="49" ht="10.2" customHeight="1" spans="2:8">
      <c r="B49" s="5"/>
      <c r="C49" s="109"/>
      <c r="D49" s="66"/>
      <c r="E49" s="66"/>
      <c r="F49" s="66"/>
      <c r="G49" s="110"/>
      <c r="H49" s="10"/>
    </row>
    <row r="50" ht="21.75" spans="2:12">
      <c r="B50" s="5"/>
      <c r="C50" s="111" t="s">
        <v>26</v>
      </c>
      <c r="D50" s="112"/>
      <c r="E50" s="112"/>
      <c r="F50" s="113">
        <f>F37+F47</f>
        <v>355381036.75</v>
      </c>
      <c r="G50" s="114">
        <f>G4-F50</f>
        <v>397749556.305</v>
      </c>
      <c r="H50" s="10"/>
      <c r="L50" s="143">
        <v>3064367.25</v>
      </c>
    </row>
    <row r="51" ht="21" spans="2:12">
      <c r="B51" s="5"/>
      <c r="C51" s="115" t="s">
        <v>27</v>
      </c>
      <c r="D51" s="116"/>
      <c r="E51" s="34"/>
      <c r="F51" s="117"/>
      <c r="G51" s="56"/>
      <c r="H51" s="10"/>
      <c r="L51" s="1">
        <f>5324450+3191882.75+6419300</f>
        <v>14935632.75</v>
      </c>
    </row>
    <row r="52" ht="22.5" spans="2:12">
      <c r="B52" s="5"/>
      <c r="C52" s="118" t="s">
        <v>28</v>
      </c>
      <c r="D52" s="119" t="s">
        <v>1</v>
      </c>
      <c r="E52" s="120">
        <f>F48</f>
        <v>0</v>
      </c>
      <c r="F52" s="117"/>
      <c r="G52" s="56"/>
      <c r="H52" s="10"/>
      <c r="L52" s="1">
        <v>11659317.25</v>
      </c>
    </row>
    <row r="53" ht="21" spans="2:8">
      <c r="B53" s="5"/>
      <c r="C53" s="118" t="s">
        <v>29</v>
      </c>
      <c r="D53" s="119" t="s">
        <v>1</v>
      </c>
      <c r="E53" s="121" t="s">
        <v>30</v>
      </c>
      <c r="F53" s="117"/>
      <c r="G53" s="56"/>
      <c r="H53" s="10"/>
    </row>
    <row r="54" ht="21" spans="2:8">
      <c r="B54" s="5"/>
      <c r="C54" s="122" t="s">
        <v>31</v>
      </c>
      <c r="D54" s="123" t="s">
        <v>1</v>
      </c>
      <c r="E54" s="124" t="s">
        <v>32</v>
      </c>
      <c r="F54" s="125" t="s">
        <v>50</v>
      </c>
      <c r="G54" s="126"/>
      <c r="H54" s="10"/>
    </row>
    <row r="55" ht="6" customHeight="1" spans="2:8">
      <c r="B55" s="127"/>
      <c r="C55" s="128"/>
      <c r="D55" s="128"/>
      <c r="E55" s="128"/>
      <c r="F55" s="128"/>
      <c r="G55" s="128"/>
      <c r="H55" s="129"/>
    </row>
    <row r="56" ht="19.5" spans="3:7">
      <c r="C56" s="130"/>
      <c r="D56" s="130"/>
      <c r="E56" s="130"/>
      <c r="F56" s="130"/>
      <c r="G56" s="130"/>
    </row>
    <row r="57" ht="19.5" spans="3:7">
      <c r="C57" s="131" t="s">
        <v>34</v>
      </c>
      <c r="D57" s="132"/>
      <c r="E57" s="133"/>
      <c r="F57" s="134"/>
      <c r="G57" s="130"/>
    </row>
    <row r="58" ht="19.5" spans="3:7">
      <c r="C58" s="131"/>
      <c r="D58" s="132"/>
      <c r="E58" s="133"/>
      <c r="F58" s="135" t="s">
        <v>35</v>
      </c>
      <c r="G58" s="136">
        <v>15000000</v>
      </c>
    </row>
    <row r="59" ht="19.5" spans="3:7">
      <c r="C59" s="131" t="s">
        <v>36</v>
      </c>
      <c r="D59" s="132"/>
      <c r="E59" s="133">
        <v>75313059305.5</v>
      </c>
      <c r="F59" s="137" t="s">
        <v>37</v>
      </c>
      <c r="G59" s="138"/>
    </row>
    <row r="60" ht="19.5" spans="3:7">
      <c r="C60" s="139">
        <v>0.01</v>
      </c>
      <c r="D60" s="132"/>
      <c r="E60" s="133">
        <f>E59*C60</f>
        <v>753130593.055</v>
      </c>
      <c r="F60" s="137" t="s">
        <v>38</v>
      </c>
      <c r="G60" s="140"/>
    </row>
    <row r="61" ht="19.5" spans="3:7">
      <c r="C61" s="130"/>
      <c r="D61" s="130"/>
      <c r="E61" s="130"/>
      <c r="F61" s="130"/>
      <c r="G61" s="130"/>
    </row>
    <row r="62" ht="19.5" spans="3:7">
      <c r="C62" s="130"/>
      <c r="D62" s="130"/>
      <c r="E62" s="130"/>
      <c r="F62" s="130"/>
      <c r="G62" s="130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2"/>
  <sheetViews>
    <sheetView view="pageBreakPreview" zoomScale="89" zoomScaleNormal="85" topLeftCell="A30" workbookViewId="0">
      <selection activeCell="G44" sqref="G4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397</v>
      </c>
      <c r="F4" s="6" t="s">
        <v>3</v>
      </c>
      <c r="G4" s="9">
        <f>+E60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F50</f>
        <v>362046813.75</v>
      </c>
      <c r="H5" s="10"/>
    </row>
    <row r="6" ht="22.5" spans="2:8">
      <c r="B6" s="5"/>
      <c r="C6" s="11" t="s">
        <v>7</v>
      </c>
      <c r="D6" s="12" t="s">
        <v>1</v>
      </c>
      <c r="E6" s="15" t="s">
        <v>398</v>
      </c>
      <c r="F6" s="11" t="s">
        <v>9</v>
      </c>
      <c r="G6" s="14">
        <f>G4-G5</f>
        <v>391083779.305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0.519277510316779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12">
      <c r="B34" s="5"/>
      <c r="C34" s="47" t="s">
        <v>399</v>
      </c>
      <c r="D34" s="48" t="s">
        <v>393</v>
      </c>
      <c r="E34" s="49"/>
      <c r="F34" s="50">
        <f>+LK.43!F45+LK.44!F47+LK.45!F47+LK.46!F47</f>
        <v>19130200</v>
      </c>
      <c r="G34" s="58"/>
      <c r="H34" s="10"/>
      <c r="L34" s="1">
        <f>318500000+8000000</f>
        <v>326500000</v>
      </c>
    </row>
    <row r="35" ht="21" spans="2:12">
      <c r="B35" s="5"/>
      <c r="C35" s="51"/>
      <c r="D35" s="52" t="s">
        <v>400</v>
      </c>
      <c r="E35" s="53"/>
      <c r="F35" s="54"/>
      <c r="G35" s="60"/>
      <c r="H35" s="10"/>
      <c r="L35" s="87">
        <v>9433732.75</v>
      </c>
    </row>
    <row r="36" ht="5.4" customHeight="1" spans="2:8">
      <c r="B36" s="5"/>
      <c r="C36" s="61"/>
      <c r="D36" s="62"/>
      <c r="E36" s="62"/>
      <c r="F36" s="63"/>
      <c r="G36" s="64"/>
      <c r="H36" s="10"/>
    </row>
    <row r="37" ht="22.5" spans="2:8">
      <c r="B37" s="5"/>
      <c r="C37" s="65"/>
      <c r="D37" s="66"/>
      <c r="E37" s="67" t="s">
        <v>18</v>
      </c>
      <c r="F37" s="68">
        <f>SUM(F12:F35)</f>
        <v>355381036.75</v>
      </c>
      <c r="G37" s="69">
        <f>G4-F37</f>
        <v>397749556.305</v>
      </c>
      <c r="H37" s="10"/>
    </row>
    <row r="38" ht="5.4" customHeight="1" spans="2:8">
      <c r="B38" s="5"/>
      <c r="C38" s="70"/>
      <c r="D38" s="71"/>
      <c r="E38" s="72"/>
      <c r="F38" s="73"/>
      <c r="G38" s="74"/>
      <c r="H38" s="10"/>
    </row>
    <row r="39" ht="22.5" spans="2:12">
      <c r="B39" s="5"/>
      <c r="C39" s="75"/>
      <c r="D39" s="28" t="s">
        <v>132</v>
      </c>
      <c r="E39" s="76"/>
      <c r="F39" s="77">
        <v>0</v>
      </c>
      <c r="G39" s="78"/>
      <c r="H39" s="10"/>
      <c r="L39" s="1">
        <f>282+11</f>
        <v>293</v>
      </c>
    </row>
    <row r="40" ht="6" customHeight="1" spans="2:8">
      <c r="B40" s="5"/>
      <c r="C40" s="75"/>
      <c r="D40" s="28"/>
      <c r="E40" s="76"/>
      <c r="F40" s="77"/>
      <c r="G40" s="78"/>
      <c r="H40" s="10"/>
    </row>
    <row r="41" ht="21" spans="2:12">
      <c r="B41" s="5"/>
      <c r="C41" s="79" t="s">
        <v>20</v>
      </c>
      <c r="D41" s="80" t="s">
        <v>133</v>
      </c>
      <c r="E41" s="81"/>
      <c r="F41" s="82" t="s">
        <v>134</v>
      </c>
      <c r="G41" s="83" t="s">
        <v>135</v>
      </c>
      <c r="H41" s="10"/>
      <c r="L41" s="141">
        <v>13550567.25</v>
      </c>
    </row>
    <row r="42" ht="21" spans="2:12">
      <c r="B42" s="5"/>
      <c r="C42" s="79"/>
      <c r="D42" s="152" t="s">
        <v>387</v>
      </c>
      <c r="E42" s="85"/>
      <c r="F42" s="86">
        <v>0</v>
      </c>
      <c r="G42" s="87">
        <v>0</v>
      </c>
      <c r="H42" s="10"/>
      <c r="L42" s="1">
        <v>5837917.25</v>
      </c>
    </row>
    <row r="43" ht="19.8" customHeight="1" spans="2:8">
      <c r="B43" s="5"/>
      <c r="C43" s="88">
        <v>45169</v>
      </c>
      <c r="D43" s="89" t="s">
        <v>401</v>
      </c>
      <c r="E43" s="90"/>
      <c r="F43" s="87">
        <v>100800</v>
      </c>
      <c r="G43" s="87">
        <v>0</v>
      </c>
      <c r="H43" s="10"/>
    </row>
    <row r="44" ht="21" spans="2:12">
      <c r="B44" s="5"/>
      <c r="C44" s="88"/>
      <c r="D44" s="89" t="s">
        <v>402</v>
      </c>
      <c r="E44" s="92"/>
      <c r="F44" s="87">
        <v>3949775</v>
      </c>
      <c r="G44" s="87"/>
      <c r="H44" s="10"/>
      <c r="L44" s="142">
        <v>100800</v>
      </c>
    </row>
    <row r="45" ht="7.8" customHeight="1" spans="2:12">
      <c r="B45" s="5"/>
      <c r="C45" s="93"/>
      <c r="D45" s="94"/>
      <c r="E45" s="95"/>
      <c r="F45" s="96"/>
      <c r="G45" s="97"/>
      <c r="H45" s="10"/>
      <c r="L45" s="142"/>
    </row>
    <row r="46" ht="19.2" customHeight="1" spans="2:12">
      <c r="B46" s="5"/>
      <c r="C46" s="79" t="s">
        <v>20</v>
      </c>
      <c r="D46" s="98" t="s">
        <v>141</v>
      </c>
      <c r="E46" s="81"/>
      <c r="F46" s="82"/>
      <c r="G46" s="99"/>
      <c r="H46" s="10"/>
      <c r="L46" s="142">
        <v>14509106.75</v>
      </c>
    </row>
    <row r="47" ht="22.5" spans="2:12">
      <c r="B47" s="5"/>
      <c r="C47" s="93">
        <v>45216</v>
      </c>
      <c r="D47" s="151" t="s">
        <v>403</v>
      </c>
      <c r="E47" s="101"/>
      <c r="F47" s="102">
        <v>6665777</v>
      </c>
      <c r="G47" s="103"/>
      <c r="H47" s="10"/>
      <c r="L47" s="142">
        <v>14509106.75</v>
      </c>
    </row>
    <row r="48" ht="22.5" spans="2:12">
      <c r="B48" s="5"/>
      <c r="C48" s="104"/>
      <c r="D48" s="105"/>
      <c r="E48" s="106" t="s">
        <v>25</v>
      </c>
      <c r="F48" s="107">
        <f>F47-SUM(F42:F44)</f>
        <v>2615202</v>
      </c>
      <c r="G48" s="108"/>
      <c r="H48" s="10"/>
      <c r="L48" s="141">
        <f>F44+G44+3866346.75</f>
        <v>7816121.75</v>
      </c>
    </row>
    <row r="49" ht="10.2" customHeight="1" spans="2:8">
      <c r="B49" s="5"/>
      <c r="C49" s="109"/>
      <c r="D49" s="66"/>
      <c r="E49" s="66"/>
      <c r="F49" s="66"/>
      <c r="G49" s="110"/>
      <c r="H49" s="10"/>
    </row>
    <row r="50" ht="21.75" spans="2:12">
      <c r="B50" s="5"/>
      <c r="C50" s="111" t="s">
        <v>26</v>
      </c>
      <c r="D50" s="112"/>
      <c r="E50" s="112"/>
      <c r="F50" s="113">
        <f>F37+F47</f>
        <v>362046813.75</v>
      </c>
      <c r="G50" s="114">
        <f>G4-F50</f>
        <v>391083779.305</v>
      </c>
      <c r="H50" s="10"/>
      <c r="L50" s="143">
        <v>3064367.25</v>
      </c>
    </row>
    <row r="51" ht="21" spans="2:12">
      <c r="B51" s="5"/>
      <c r="C51" s="115" t="s">
        <v>27</v>
      </c>
      <c r="D51" s="116"/>
      <c r="E51" s="34"/>
      <c r="F51" s="117"/>
      <c r="G51" s="56"/>
      <c r="H51" s="10"/>
      <c r="L51" s="1">
        <f>5324450+3191882.75+6419300</f>
        <v>14935632.75</v>
      </c>
    </row>
    <row r="52" ht="22.5" spans="2:12">
      <c r="B52" s="5"/>
      <c r="C52" s="118" t="s">
        <v>28</v>
      </c>
      <c r="D52" s="119" t="s">
        <v>1</v>
      </c>
      <c r="E52" s="120">
        <f>F48</f>
        <v>2615202</v>
      </c>
      <c r="F52" s="117"/>
      <c r="G52" s="56"/>
      <c r="H52" s="10"/>
      <c r="L52" s="1">
        <v>11659317.25</v>
      </c>
    </row>
    <row r="53" ht="21" spans="2:8">
      <c r="B53" s="5"/>
      <c r="C53" s="118" t="s">
        <v>29</v>
      </c>
      <c r="D53" s="119" t="s">
        <v>1</v>
      </c>
      <c r="E53" s="121" t="s">
        <v>30</v>
      </c>
      <c r="F53" s="117"/>
      <c r="G53" s="56"/>
      <c r="H53" s="10"/>
    </row>
    <row r="54" ht="21" spans="2:8">
      <c r="B54" s="5"/>
      <c r="C54" s="122" t="s">
        <v>31</v>
      </c>
      <c r="D54" s="123" t="s">
        <v>1</v>
      </c>
      <c r="E54" s="124" t="s">
        <v>32</v>
      </c>
      <c r="F54" s="125" t="s">
        <v>50</v>
      </c>
      <c r="G54" s="126"/>
      <c r="H54" s="10"/>
    </row>
    <row r="55" ht="6" customHeight="1" spans="2:8">
      <c r="B55" s="127"/>
      <c r="C55" s="128"/>
      <c r="D55" s="128"/>
      <c r="E55" s="128"/>
      <c r="F55" s="128"/>
      <c r="G55" s="128"/>
      <c r="H55" s="129"/>
    </row>
    <row r="56" ht="19.5" spans="3:7">
      <c r="C56" s="130"/>
      <c r="D56" s="130"/>
      <c r="E56" s="130"/>
      <c r="F56" s="130"/>
      <c r="G56" s="130"/>
    </row>
    <row r="57" ht="19.5" spans="3:7">
      <c r="C57" s="131" t="s">
        <v>34</v>
      </c>
      <c r="D57" s="132"/>
      <c r="E57" s="133"/>
      <c r="F57" s="134"/>
      <c r="G57" s="130"/>
    </row>
    <row r="58" ht="19.5" spans="3:7">
      <c r="C58" s="131"/>
      <c r="D58" s="132"/>
      <c r="E58" s="133"/>
      <c r="F58" s="135" t="s">
        <v>35</v>
      </c>
      <c r="G58" s="136">
        <v>15000000</v>
      </c>
    </row>
    <row r="59" ht="19.5" spans="3:7">
      <c r="C59" s="131" t="s">
        <v>36</v>
      </c>
      <c r="D59" s="132"/>
      <c r="E59" s="133">
        <v>75313059305.5</v>
      </c>
      <c r="F59" s="137" t="s">
        <v>37</v>
      </c>
      <c r="G59" s="138"/>
    </row>
    <row r="60" ht="19.5" spans="3:7">
      <c r="C60" s="139">
        <v>0.01</v>
      </c>
      <c r="D60" s="132"/>
      <c r="E60" s="133">
        <f>E59*C60</f>
        <v>753130593.055</v>
      </c>
      <c r="F60" s="137" t="s">
        <v>38</v>
      </c>
      <c r="G60" s="140"/>
    </row>
    <row r="61" ht="19.5" spans="3:7">
      <c r="C61" s="130"/>
      <c r="D61" s="130"/>
      <c r="E61" s="130"/>
      <c r="F61" s="130"/>
      <c r="G61" s="130"/>
    </row>
    <row r="62" ht="19.5" spans="3:7">
      <c r="C62" s="130"/>
      <c r="D62" s="130"/>
      <c r="E62" s="130"/>
      <c r="F62" s="130"/>
      <c r="G62" s="130"/>
    </row>
  </sheetData>
  <mergeCells count="36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F54:G54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view="pageBreakPreview" zoomScale="89" zoomScaleNormal="85" topLeftCell="A37" workbookViewId="0">
      <selection activeCell="G43" sqref="G4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404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365097038.75</v>
      </c>
      <c r="H5" s="10"/>
    </row>
    <row r="6" ht="22.5" spans="2:8">
      <c r="B6" s="5"/>
      <c r="C6" s="11" t="s">
        <v>7</v>
      </c>
      <c r="D6" s="12" t="s">
        <v>1</v>
      </c>
      <c r="E6" s="15" t="s">
        <v>405</v>
      </c>
      <c r="F6" s="11" t="s">
        <v>9</v>
      </c>
      <c r="G6" s="14">
        <f>G4-G5</f>
        <v>388033554.305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0.515227449108102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8">
      <c r="B34" s="5"/>
      <c r="C34" s="47" t="s">
        <v>399</v>
      </c>
      <c r="D34" s="48" t="s">
        <v>393</v>
      </c>
      <c r="E34" s="49"/>
      <c r="F34" s="50">
        <f>+LK.43!F45+LK.44!F47+LK.45!F47+LK.46!F47</f>
        <v>19130200</v>
      </c>
      <c r="G34" s="56"/>
      <c r="H34" s="10"/>
    </row>
    <row r="35" ht="21" spans="2:8">
      <c r="B35" s="5"/>
      <c r="C35" s="51"/>
      <c r="D35" s="52" t="s">
        <v>400</v>
      </c>
      <c r="E35" s="53"/>
      <c r="F35" s="54"/>
      <c r="G35" s="56"/>
      <c r="H35" s="10"/>
    </row>
    <row r="36" ht="21" spans="2:12">
      <c r="B36" s="5"/>
      <c r="C36" s="47" t="s">
        <v>406</v>
      </c>
      <c r="D36" s="48" t="s">
        <v>407</v>
      </c>
      <c r="E36" s="49"/>
      <c r="F36" s="50">
        <f>+LK.47!F47</f>
        <v>6665777</v>
      </c>
      <c r="G36" s="58"/>
      <c r="H36" s="10"/>
      <c r="L36" s="1">
        <f>318500000+8000000</f>
        <v>326500000</v>
      </c>
    </row>
    <row r="37" ht="21" spans="2:12">
      <c r="B37" s="5"/>
      <c r="C37" s="51"/>
      <c r="D37" s="52" t="s">
        <v>408</v>
      </c>
      <c r="E37" s="53"/>
      <c r="F37" s="54"/>
      <c r="G37" s="60"/>
      <c r="H37" s="10"/>
      <c r="L37" s="87">
        <v>9433732.75</v>
      </c>
    </row>
    <row r="38" ht="5.4" customHeight="1" spans="2:8">
      <c r="B38" s="5"/>
      <c r="C38" s="61"/>
      <c r="D38" s="62"/>
      <c r="E38" s="62"/>
      <c r="F38" s="63"/>
      <c r="G38" s="64"/>
      <c r="H38" s="10"/>
    </row>
    <row r="39" ht="22.5" spans="2:8">
      <c r="B39" s="5"/>
      <c r="C39" s="65"/>
      <c r="D39" s="66"/>
      <c r="E39" s="67" t="s">
        <v>18</v>
      </c>
      <c r="F39" s="68">
        <f>SUM(F12:F37)</f>
        <v>362046813.75</v>
      </c>
      <c r="G39" s="69">
        <f>G4-F39</f>
        <v>391083779.305</v>
      </c>
      <c r="H39" s="10"/>
    </row>
    <row r="40" ht="5.4" customHeight="1" spans="2:8">
      <c r="B40" s="5"/>
      <c r="C40" s="70"/>
      <c r="D40" s="71"/>
      <c r="E40" s="72"/>
      <c r="F40" s="73"/>
      <c r="G40" s="74"/>
      <c r="H40" s="10"/>
    </row>
    <row r="41" ht="22.5" spans="2:12">
      <c r="B41" s="5"/>
      <c r="C41" s="75"/>
      <c r="D41" s="28" t="s">
        <v>132</v>
      </c>
      <c r="E41" s="76"/>
      <c r="F41" s="77">
        <v>0</v>
      </c>
      <c r="G41" s="78"/>
      <c r="H41" s="10"/>
      <c r="L41" s="1">
        <f>282+11</f>
        <v>293</v>
      </c>
    </row>
    <row r="42" ht="6" customHeight="1" spans="2:8">
      <c r="B42" s="5"/>
      <c r="C42" s="75"/>
      <c r="D42" s="28"/>
      <c r="E42" s="76"/>
      <c r="F42" s="77"/>
      <c r="G42" s="78"/>
      <c r="H42" s="10"/>
    </row>
    <row r="43" ht="21" spans="2:12">
      <c r="B43" s="5"/>
      <c r="C43" s="79" t="s">
        <v>20</v>
      </c>
      <c r="D43" s="80" t="s">
        <v>133</v>
      </c>
      <c r="E43" s="81"/>
      <c r="F43" s="82" t="s">
        <v>134</v>
      </c>
      <c r="G43" s="83" t="s">
        <v>135</v>
      </c>
      <c r="H43" s="10"/>
      <c r="L43" s="141">
        <v>13550567.25</v>
      </c>
    </row>
    <row r="44" ht="21" spans="2:12">
      <c r="B44" s="5"/>
      <c r="C44" s="79"/>
      <c r="D44" s="152" t="s">
        <v>409</v>
      </c>
      <c r="E44" s="85"/>
      <c r="F44" s="86">
        <v>0</v>
      </c>
      <c r="G44" s="87">
        <v>0</v>
      </c>
      <c r="H44" s="10"/>
      <c r="L44" s="1">
        <v>5837917.25</v>
      </c>
    </row>
    <row r="45" ht="19.8" customHeight="1" spans="2:8">
      <c r="B45" s="5"/>
      <c r="C45" s="88">
        <v>45224</v>
      </c>
      <c r="D45" s="89" t="s">
        <v>410</v>
      </c>
      <c r="E45" s="90"/>
      <c r="F45" s="87">
        <v>3050225</v>
      </c>
      <c r="G45" s="87">
        <f>7000000-F45</f>
        <v>3949775</v>
      </c>
      <c r="H45" s="10"/>
    </row>
    <row r="46" ht="21" spans="2:12">
      <c r="B46" s="5"/>
      <c r="C46" s="88"/>
      <c r="D46" s="91"/>
      <c r="E46" s="92"/>
      <c r="F46" s="87"/>
      <c r="G46" s="87"/>
      <c r="H46" s="10"/>
      <c r="L46" s="142">
        <v>100800</v>
      </c>
    </row>
    <row r="47" ht="7.8" customHeight="1" spans="2:12">
      <c r="B47" s="5"/>
      <c r="C47" s="93"/>
      <c r="D47" s="94"/>
      <c r="E47" s="95"/>
      <c r="F47" s="96"/>
      <c r="G47" s="97"/>
      <c r="H47" s="10"/>
      <c r="L47" s="142"/>
    </row>
    <row r="48" ht="19.2" customHeight="1" spans="2:12">
      <c r="B48" s="5"/>
      <c r="C48" s="79" t="s">
        <v>20</v>
      </c>
      <c r="D48" s="98" t="s">
        <v>141</v>
      </c>
      <c r="E48" s="81"/>
      <c r="F48" s="82"/>
      <c r="G48" s="99"/>
      <c r="H48" s="10"/>
      <c r="L48" s="142">
        <v>14509106.75</v>
      </c>
    </row>
    <row r="49" ht="22.5" spans="2:12">
      <c r="B49" s="5"/>
      <c r="C49" s="93">
        <v>45224</v>
      </c>
      <c r="D49" s="151" t="s">
        <v>411</v>
      </c>
      <c r="E49" s="101"/>
      <c r="F49" s="102">
        <v>3050225</v>
      </c>
      <c r="G49" s="103"/>
      <c r="H49" s="10"/>
      <c r="L49" s="142">
        <v>14509106.75</v>
      </c>
    </row>
    <row r="50" ht="22.5" spans="2:12">
      <c r="B50" s="5"/>
      <c r="C50" s="104"/>
      <c r="D50" s="105"/>
      <c r="E50" s="106" t="s">
        <v>25</v>
      </c>
      <c r="F50" s="107">
        <f>F49-SUM(F44:F46)</f>
        <v>0</v>
      </c>
      <c r="G50" s="108"/>
      <c r="H50" s="10"/>
      <c r="L50" s="141">
        <f>F46+G46+3866346.75</f>
        <v>3866346.75</v>
      </c>
    </row>
    <row r="51" ht="10.2" customHeight="1" spans="2:8">
      <c r="B51" s="5"/>
      <c r="C51" s="109"/>
      <c r="D51" s="66"/>
      <c r="E51" s="66"/>
      <c r="F51" s="66"/>
      <c r="G51" s="110"/>
      <c r="H51" s="10"/>
    </row>
    <row r="52" ht="21.75" spans="2:12">
      <c r="B52" s="5"/>
      <c r="C52" s="111" t="s">
        <v>26</v>
      </c>
      <c r="D52" s="112"/>
      <c r="E52" s="112"/>
      <c r="F52" s="113">
        <f>F39+F49</f>
        <v>365097038.75</v>
      </c>
      <c r="G52" s="114">
        <f>G4-F52</f>
        <v>388033554.305</v>
      </c>
      <c r="H52" s="10"/>
      <c r="L52" s="143">
        <v>3064367.25</v>
      </c>
    </row>
    <row r="53" ht="21" spans="2:12">
      <c r="B53" s="5"/>
      <c r="C53" s="115" t="s">
        <v>27</v>
      </c>
      <c r="D53" s="116"/>
      <c r="E53" s="34"/>
      <c r="F53" s="117"/>
      <c r="G53" s="56"/>
      <c r="H53" s="10"/>
      <c r="L53" s="1">
        <f>5324450+3191882.75+6419300</f>
        <v>14935632.75</v>
      </c>
    </row>
    <row r="54" ht="22.5" spans="2:12">
      <c r="B54" s="5"/>
      <c r="C54" s="118" t="s">
        <v>28</v>
      </c>
      <c r="D54" s="119" t="s">
        <v>1</v>
      </c>
      <c r="E54" s="120">
        <f>F50</f>
        <v>0</v>
      </c>
      <c r="F54" s="117"/>
      <c r="G54" s="56"/>
      <c r="H54" s="10"/>
      <c r="L54" s="1">
        <v>11659317.25</v>
      </c>
    </row>
    <row r="55" ht="21" spans="2:8">
      <c r="B55" s="5"/>
      <c r="C55" s="118" t="s">
        <v>29</v>
      </c>
      <c r="D55" s="119" t="s">
        <v>1</v>
      </c>
      <c r="E55" s="121" t="s">
        <v>30</v>
      </c>
      <c r="F55" s="117"/>
      <c r="G55" s="56"/>
      <c r="H55" s="10"/>
    </row>
    <row r="56" ht="21" spans="2:8">
      <c r="B56" s="5"/>
      <c r="C56" s="122" t="s">
        <v>31</v>
      </c>
      <c r="D56" s="123" t="s">
        <v>1</v>
      </c>
      <c r="E56" s="124" t="s">
        <v>32</v>
      </c>
      <c r="F56" s="125" t="s">
        <v>50</v>
      </c>
      <c r="G56" s="126"/>
      <c r="H56" s="10"/>
    </row>
    <row r="57" ht="6" customHeight="1" spans="2:8">
      <c r="B57" s="127"/>
      <c r="C57" s="128"/>
      <c r="D57" s="128"/>
      <c r="E57" s="128"/>
      <c r="F57" s="128"/>
      <c r="G57" s="128"/>
      <c r="H57" s="129"/>
    </row>
    <row r="58" ht="19.5" spans="3:7">
      <c r="C58" s="130"/>
      <c r="D58" s="130"/>
      <c r="E58" s="130"/>
      <c r="F58" s="130"/>
      <c r="G58" s="130"/>
    </row>
    <row r="59" ht="19.5" spans="3:7">
      <c r="C59" s="131" t="s">
        <v>34</v>
      </c>
      <c r="D59" s="132"/>
      <c r="E59" s="133"/>
      <c r="F59" s="134"/>
      <c r="G59" s="130"/>
    </row>
    <row r="60" ht="19.5" spans="3:7">
      <c r="C60" s="131"/>
      <c r="D60" s="132"/>
      <c r="E60" s="133"/>
      <c r="F60" s="135" t="s">
        <v>35</v>
      </c>
      <c r="G60" s="136">
        <v>15000000</v>
      </c>
    </row>
    <row r="61" ht="19.5" spans="3:7">
      <c r="C61" s="131" t="s">
        <v>36</v>
      </c>
      <c r="D61" s="132"/>
      <c r="E61" s="133">
        <v>75313059305.5</v>
      </c>
      <c r="F61" s="137" t="s">
        <v>37</v>
      </c>
      <c r="G61" s="138"/>
    </row>
    <row r="62" ht="19.5" spans="3:7">
      <c r="C62" s="139">
        <v>0.01</v>
      </c>
      <c r="D62" s="132"/>
      <c r="E62" s="133">
        <f>E61*C62</f>
        <v>753130593.055</v>
      </c>
      <c r="F62" s="137" t="s">
        <v>38</v>
      </c>
      <c r="G62" s="140"/>
    </row>
    <row r="63" ht="19.5" spans="3:7">
      <c r="C63" s="130"/>
      <c r="D63" s="130"/>
      <c r="E63" s="130"/>
      <c r="F63" s="130"/>
      <c r="G63" s="130"/>
    </row>
    <row r="64" ht="19.5" spans="3:7">
      <c r="C64" s="130"/>
      <c r="D64" s="130"/>
      <c r="E64" s="130"/>
      <c r="F64" s="130"/>
      <c r="G64" s="130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view="pageBreakPreview" zoomScale="89" zoomScaleNormal="85" topLeftCell="A34" workbookViewId="0">
      <selection activeCell="F48" sqref="F48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21904761904762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412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368984838.75</v>
      </c>
      <c r="H5" s="10"/>
    </row>
    <row r="6" ht="22.5" spans="2:8">
      <c r="B6" s="5"/>
      <c r="C6" s="11" t="s">
        <v>7</v>
      </c>
      <c r="D6" s="12" t="s">
        <v>1</v>
      </c>
      <c r="E6" s="15" t="s">
        <v>413</v>
      </c>
      <c r="F6" s="11" t="s">
        <v>9</v>
      </c>
      <c r="G6" s="14">
        <f>G4-G5</f>
        <v>384145754.305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0.510065263378494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8">
      <c r="B34" s="5"/>
      <c r="C34" s="47" t="s">
        <v>399</v>
      </c>
      <c r="D34" s="48" t="s">
        <v>393</v>
      </c>
      <c r="E34" s="49"/>
      <c r="F34" s="50">
        <f>+LK.43!F45+LK.44!F47+LK.45!F47+LK.46!F47</f>
        <v>19130200</v>
      </c>
      <c r="G34" s="56"/>
      <c r="H34" s="10"/>
    </row>
    <row r="35" ht="21" spans="2:8">
      <c r="B35" s="5"/>
      <c r="C35" s="51"/>
      <c r="D35" s="52" t="s">
        <v>400</v>
      </c>
      <c r="E35" s="53"/>
      <c r="F35" s="54"/>
      <c r="G35" s="56"/>
      <c r="H35" s="10"/>
    </row>
    <row r="36" ht="21" spans="2:12">
      <c r="B36" s="5"/>
      <c r="C36" s="47" t="s">
        <v>414</v>
      </c>
      <c r="D36" s="48" t="s">
        <v>407</v>
      </c>
      <c r="E36" s="49"/>
      <c r="F36" s="50">
        <f>+LK.47!F47+LK.48!F49</f>
        <v>9716002</v>
      </c>
      <c r="G36" s="58"/>
      <c r="H36" s="10"/>
      <c r="L36" s="1">
        <f>318500000+8000000</f>
        <v>326500000</v>
      </c>
    </row>
    <row r="37" ht="21" spans="2:12">
      <c r="B37" s="5"/>
      <c r="C37" s="51"/>
      <c r="D37" s="52" t="s">
        <v>415</v>
      </c>
      <c r="E37" s="53"/>
      <c r="F37" s="54"/>
      <c r="G37" s="60"/>
      <c r="H37" s="10"/>
      <c r="L37" s="87">
        <v>9433732.75</v>
      </c>
    </row>
    <row r="38" ht="5.4" customHeight="1" spans="2:8">
      <c r="B38" s="5"/>
      <c r="C38" s="61"/>
      <c r="D38" s="62"/>
      <c r="E38" s="62"/>
      <c r="F38" s="63"/>
      <c r="G38" s="64"/>
      <c r="H38" s="10"/>
    </row>
    <row r="39" ht="22.5" spans="2:8">
      <c r="B39" s="5"/>
      <c r="C39" s="65"/>
      <c r="D39" s="66"/>
      <c r="E39" s="67" t="s">
        <v>18</v>
      </c>
      <c r="F39" s="68">
        <f>SUM(F12:F37)</f>
        <v>365097038.75</v>
      </c>
      <c r="G39" s="69">
        <f>G4-F39</f>
        <v>388033554.305</v>
      </c>
      <c r="H39" s="10"/>
    </row>
    <row r="40" ht="5.4" customHeight="1" spans="2:8">
      <c r="B40" s="5"/>
      <c r="C40" s="70"/>
      <c r="D40" s="71"/>
      <c r="E40" s="72"/>
      <c r="F40" s="73"/>
      <c r="G40" s="74"/>
      <c r="H40" s="10"/>
    </row>
    <row r="41" ht="22.5" spans="2:12">
      <c r="B41" s="5"/>
      <c r="C41" s="75"/>
      <c r="D41" s="28" t="s">
        <v>132</v>
      </c>
      <c r="E41" s="76"/>
      <c r="F41" s="77">
        <v>0</v>
      </c>
      <c r="G41" s="78"/>
      <c r="H41" s="10"/>
      <c r="L41" s="1">
        <f>282+11</f>
        <v>293</v>
      </c>
    </row>
    <row r="42" ht="6" customHeight="1" spans="2:8">
      <c r="B42" s="5"/>
      <c r="C42" s="75"/>
      <c r="D42" s="28"/>
      <c r="E42" s="76"/>
      <c r="F42" s="77"/>
      <c r="G42" s="78"/>
      <c r="H42" s="10"/>
    </row>
    <row r="43" ht="21" spans="2:12">
      <c r="B43" s="5"/>
      <c r="C43" s="79" t="s">
        <v>20</v>
      </c>
      <c r="D43" s="80" t="s">
        <v>133</v>
      </c>
      <c r="E43" s="81"/>
      <c r="F43" s="82" t="s">
        <v>134</v>
      </c>
      <c r="G43" s="83" t="s">
        <v>135</v>
      </c>
      <c r="H43" s="10"/>
      <c r="L43" s="141">
        <v>13550567.25</v>
      </c>
    </row>
    <row r="44" ht="21" spans="2:12">
      <c r="B44" s="5"/>
      <c r="C44" s="79"/>
      <c r="D44" s="84" t="s">
        <v>416</v>
      </c>
      <c r="E44" s="85"/>
      <c r="F44" s="86">
        <v>0</v>
      </c>
      <c r="G44" s="87">
        <v>0</v>
      </c>
      <c r="H44" s="10"/>
      <c r="L44" s="1">
        <v>5837917.25</v>
      </c>
    </row>
    <row r="45" ht="19.8" customHeight="1" spans="2:8">
      <c r="B45" s="5"/>
      <c r="C45" s="88"/>
      <c r="D45" s="89"/>
      <c r="E45" s="90"/>
      <c r="F45" s="87"/>
      <c r="G45" s="87"/>
      <c r="H45" s="10"/>
    </row>
    <row r="46" ht="21" spans="2:12">
      <c r="B46" s="5"/>
      <c r="C46" s="88"/>
      <c r="D46" s="91"/>
      <c r="E46" s="92"/>
      <c r="F46" s="87"/>
      <c r="G46" s="87"/>
      <c r="H46" s="10"/>
      <c r="L46" s="142">
        <v>100800</v>
      </c>
    </row>
    <row r="47" ht="7.8" customHeight="1" spans="2:12">
      <c r="B47" s="5"/>
      <c r="C47" s="93"/>
      <c r="D47" s="94"/>
      <c r="E47" s="95"/>
      <c r="F47" s="96"/>
      <c r="G47" s="97"/>
      <c r="H47" s="10"/>
      <c r="L47" s="142"/>
    </row>
    <row r="48" ht="19.2" customHeight="1" spans="2:12">
      <c r="B48" s="5"/>
      <c r="C48" s="79" t="s">
        <v>20</v>
      </c>
      <c r="D48" s="98" t="s">
        <v>141</v>
      </c>
      <c r="E48" s="81"/>
      <c r="F48" s="82"/>
      <c r="G48" s="99"/>
      <c r="H48" s="10"/>
      <c r="L48" s="142">
        <v>14509106.75</v>
      </c>
    </row>
    <row r="49" ht="22.5" spans="2:12">
      <c r="B49" s="5"/>
      <c r="C49" s="93">
        <v>45265</v>
      </c>
      <c r="D49" s="151" t="s">
        <v>417</v>
      </c>
      <c r="E49" s="101"/>
      <c r="F49" s="102">
        <v>3887800</v>
      </c>
      <c r="G49" s="103"/>
      <c r="H49" s="10"/>
      <c r="L49" s="142">
        <v>14509106.75</v>
      </c>
    </row>
    <row r="50" ht="22.5" spans="2:12">
      <c r="B50" s="5"/>
      <c r="C50" s="104"/>
      <c r="D50" s="105"/>
      <c r="E50" s="106" t="s">
        <v>25</v>
      </c>
      <c r="F50" s="107">
        <f>F49-SUM(F44:F46)</f>
        <v>3887800</v>
      </c>
      <c r="G50" s="108"/>
      <c r="H50" s="10"/>
      <c r="L50" s="141">
        <f>F46+G46+3866346.75</f>
        <v>3866346.75</v>
      </c>
    </row>
    <row r="51" ht="10.2" customHeight="1" spans="2:8">
      <c r="B51" s="5"/>
      <c r="C51" s="109"/>
      <c r="D51" s="66"/>
      <c r="E51" s="66"/>
      <c r="F51" s="66"/>
      <c r="G51" s="110"/>
      <c r="H51" s="10"/>
    </row>
    <row r="52" ht="21.75" spans="2:12">
      <c r="B52" s="5"/>
      <c r="C52" s="111" t="s">
        <v>26</v>
      </c>
      <c r="D52" s="112"/>
      <c r="E52" s="112"/>
      <c r="F52" s="113">
        <f>F39+F49</f>
        <v>368984838.75</v>
      </c>
      <c r="G52" s="114">
        <f>G4-F52</f>
        <v>384145754.305</v>
      </c>
      <c r="H52" s="10"/>
      <c r="L52" s="143">
        <v>3064367.25</v>
      </c>
    </row>
    <row r="53" ht="21" spans="2:12">
      <c r="B53" s="5"/>
      <c r="C53" s="115" t="s">
        <v>27</v>
      </c>
      <c r="D53" s="116"/>
      <c r="E53" s="34"/>
      <c r="F53" s="117"/>
      <c r="G53" s="56"/>
      <c r="H53" s="10"/>
      <c r="L53" s="1">
        <f>5324450+3191882.75+6419300</f>
        <v>14935632.75</v>
      </c>
    </row>
    <row r="54" ht="22.5" spans="2:12">
      <c r="B54" s="5"/>
      <c r="C54" s="118" t="s">
        <v>28</v>
      </c>
      <c r="D54" s="119" t="s">
        <v>1</v>
      </c>
      <c r="E54" s="120">
        <f>F50</f>
        <v>3887800</v>
      </c>
      <c r="F54" s="117"/>
      <c r="G54" s="56"/>
      <c r="H54" s="10"/>
      <c r="L54" s="1">
        <v>11659317.25</v>
      </c>
    </row>
    <row r="55" ht="21" spans="2:8">
      <c r="B55" s="5"/>
      <c r="C55" s="118" t="s">
        <v>29</v>
      </c>
      <c r="D55" s="119" t="s">
        <v>1</v>
      </c>
      <c r="E55" s="121" t="s">
        <v>30</v>
      </c>
      <c r="F55" s="117"/>
      <c r="G55" s="56"/>
      <c r="H55" s="10"/>
    </row>
    <row r="56" ht="21" spans="2:8">
      <c r="B56" s="5"/>
      <c r="C56" s="122" t="s">
        <v>31</v>
      </c>
      <c r="D56" s="123" t="s">
        <v>1</v>
      </c>
      <c r="E56" s="124" t="s">
        <v>32</v>
      </c>
      <c r="F56" s="125" t="s">
        <v>50</v>
      </c>
      <c r="G56" s="126"/>
      <c r="H56" s="10"/>
    </row>
    <row r="57" ht="6" customHeight="1" spans="2:8">
      <c r="B57" s="127"/>
      <c r="C57" s="128"/>
      <c r="D57" s="128"/>
      <c r="E57" s="128"/>
      <c r="F57" s="128"/>
      <c r="G57" s="128"/>
      <c r="H57" s="129"/>
    </row>
    <row r="58" ht="19.5" spans="3:7">
      <c r="C58" s="130"/>
      <c r="D58" s="130"/>
      <c r="E58" s="130"/>
      <c r="F58" s="130"/>
      <c r="G58" s="130"/>
    </row>
    <row r="59" ht="19.5" spans="3:7">
      <c r="C59" s="131" t="s">
        <v>34</v>
      </c>
      <c r="D59" s="132"/>
      <c r="E59" s="133"/>
      <c r="F59" s="134"/>
      <c r="G59" s="130"/>
    </row>
    <row r="60" ht="19.5" spans="3:7">
      <c r="C60" s="131"/>
      <c r="D60" s="132"/>
      <c r="E60" s="133"/>
      <c r="F60" s="135" t="s">
        <v>35</v>
      </c>
      <c r="G60" s="136">
        <v>15000000</v>
      </c>
    </row>
    <row r="61" ht="19.5" spans="3:7">
      <c r="C61" s="131" t="s">
        <v>36</v>
      </c>
      <c r="D61" s="132"/>
      <c r="E61" s="133">
        <v>75313059305.5</v>
      </c>
      <c r="F61" s="137" t="s">
        <v>37</v>
      </c>
      <c r="G61" s="138"/>
    </row>
    <row r="62" ht="19.5" spans="3:7">
      <c r="C62" s="139">
        <v>0.01</v>
      </c>
      <c r="D62" s="132"/>
      <c r="E62" s="133">
        <f>E61*C62</f>
        <v>753130593.055</v>
      </c>
      <c r="F62" s="137" t="s">
        <v>38</v>
      </c>
      <c r="G62" s="140"/>
    </row>
    <row r="63" ht="19.5" spans="3:7">
      <c r="C63" s="130"/>
      <c r="D63" s="130"/>
      <c r="E63" s="130"/>
      <c r="F63" s="130"/>
      <c r="G63" s="130"/>
    </row>
    <row r="64" ht="19.5" spans="3:7">
      <c r="C64" s="130"/>
      <c r="D64" s="130"/>
      <c r="E64" s="130"/>
      <c r="F64" s="130"/>
      <c r="G64" s="130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4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5"/>
  <sheetViews>
    <sheetView zoomScale="70" zoomScaleNormal="70" workbookViewId="0">
      <selection activeCell="E25" sqref="E25:G2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56</v>
      </c>
      <c r="F4" s="215" t="s">
        <v>3</v>
      </c>
      <c r="G4" s="216"/>
      <c r="H4" s="9">
        <f>+E43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G33</f>
        <v>22845564</v>
      </c>
      <c r="I5" s="10"/>
    </row>
    <row r="6" ht="22.5" spans="2:9">
      <c r="B6" s="5"/>
      <c r="C6" s="11" t="s">
        <v>7</v>
      </c>
      <c r="D6" s="12" t="s">
        <v>1</v>
      </c>
      <c r="E6" s="15" t="s">
        <v>57</v>
      </c>
      <c r="F6" s="217" t="s">
        <v>9</v>
      </c>
      <c r="G6" s="218"/>
      <c r="H6" s="14">
        <f>H4-H5</f>
        <v>730285029.055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0.969665866437148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99">
        <f>+LK.02!G22</f>
        <v>2244000</v>
      </c>
      <c r="H16" s="244"/>
      <c r="I16" s="10"/>
    </row>
    <row r="17" ht="19.5" spans="2:9">
      <c r="B17" s="5"/>
      <c r="C17" s="275"/>
      <c r="D17" s="276"/>
      <c r="E17" s="278" t="s">
        <v>53</v>
      </c>
      <c r="F17" s="130"/>
      <c r="G17" s="300">
        <f>+LK.03!G22</f>
        <v>7381394</v>
      </c>
      <c r="H17" s="244"/>
      <c r="I17" s="10"/>
    </row>
    <row r="18" ht="19.5" spans="2:9">
      <c r="B18" s="5"/>
      <c r="C18" s="275"/>
      <c r="D18" s="276"/>
      <c r="E18" s="278" t="s">
        <v>58</v>
      </c>
      <c r="F18" s="130"/>
      <c r="G18" s="300">
        <f>+LK.04!G23</f>
        <v>3592000</v>
      </c>
      <c r="H18" s="244"/>
      <c r="I18" s="10"/>
    </row>
    <row r="19" ht="19.5" spans="2:9">
      <c r="B19" s="5"/>
      <c r="C19" s="275"/>
      <c r="D19" s="276"/>
      <c r="E19" s="278"/>
      <c r="F19" s="130"/>
      <c r="H19" s="244"/>
      <c r="I19" s="10"/>
    </row>
    <row r="20" ht="19.5" spans="2:9">
      <c r="B20" s="5"/>
      <c r="C20" s="277"/>
      <c r="D20" s="130"/>
      <c r="E20" s="282" t="s">
        <v>18</v>
      </c>
      <c r="F20" s="283"/>
      <c r="G20" s="284">
        <f>SUM(G15:G18)</f>
        <v>16847894</v>
      </c>
      <c r="H20" s="285">
        <f>H10-G20</f>
        <v>736282699.055</v>
      </c>
      <c r="I20" s="10"/>
    </row>
    <row r="21" ht="19.5" spans="2:9">
      <c r="B21" s="5"/>
      <c r="C21" s="243"/>
      <c r="D21" s="130"/>
      <c r="E21" s="130"/>
      <c r="F21" s="130"/>
      <c r="G21" s="130"/>
      <c r="H21" s="244"/>
      <c r="I21" s="10"/>
    </row>
    <row r="22" ht="19.5" spans="2:9">
      <c r="B22" s="5"/>
      <c r="C22" s="275" t="s">
        <v>19</v>
      </c>
      <c r="D22" s="286"/>
      <c r="E22" s="286"/>
      <c r="F22" s="130"/>
      <c r="G22" s="130"/>
      <c r="H22" s="244"/>
      <c r="I22" s="10"/>
    </row>
    <row r="23" ht="19.5" spans="2:9">
      <c r="B23" s="5"/>
      <c r="C23" s="275" t="s">
        <v>20</v>
      </c>
      <c r="D23" s="286" t="s">
        <v>21</v>
      </c>
      <c r="E23" s="286" t="s">
        <v>22</v>
      </c>
      <c r="F23" s="130"/>
      <c r="G23" s="130"/>
      <c r="H23" s="244"/>
      <c r="I23" s="10"/>
    </row>
    <row r="24" ht="20.25" spans="2:9">
      <c r="B24" s="5"/>
      <c r="C24" s="287">
        <v>44712</v>
      </c>
      <c r="D24" s="276" t="s">
        <v>23</v>
      </c>
      <c r="E24" s="283" t="s">
        <v>56</v>
      </c>
      <c r="F24" s="283"/>
      <c r="G24" s="288">
        <v>5997670</v>
      </c>
      <c r="H24" s="244"/>
      <c r="I24" s="10"/>
    </row>
    <row r="25" ht="21" spans="2:9">
      <c r="B25" s="5"/>
      <c r="C25" s="287">
        <v>44673</v>
      </c>
      <c r="D25" s="276"/>
      <c r="E25" s="289" t="s">
        <v>45</v>
      </c>
      <c r="F25" s="290"/>
      <c r="G25" s="291">
        <v>0</v>
      </c>
      <c r="H25" s="244"/>
      <c r="I25" s="10"/>
    </row>
    <row r="26" ht="20.25" spans="2:9">
      <c r="B26" s="5"/>
      <c r="C26" s="287"/>
      <c r="D26" s="276"/>
      <c r="E26" s="289" t="s">
        <v>54</v>
      </c>
      <c r="F26" s="292"/>
      <c r="G26" s="291">
        <v>0</v>
      </c>
      <c r="H26" s="244"/>
      <c r="I26" s="10"/>
    </row>
    <row r="27" ht="20.25" spans="2:9">
      <c r="B27" s="5"/>
      <c r="C27" s="287"/>
      <c r="D27" s="276"/>
      <c r="E27" s="306" t="s">
        <v>59</v>
      </c>
      <c r="F27" s="292"/>
      <c r="G27" s="293">
        <v>5997670</v>
      </c>
      <c r="H27" s="244"/>
      <c r="I27" s="10"/>
    </row>
    <row r="28" ht="20.25" spans="2:9">
      <c r="B28" s="5"/>
      <c r="C28" s="287"/>
      <c r="D28" s="276"/>
      <c r="E28" s="294" t="s">
        <v>48</v>
      </c>
      <c r="F28" s="292"/>
      <c r="G28" s="293"/>
      <c r="H28" s="244"/>
      <c r="I28" s="10"/>
    </row>
    <row r="29" ht="20.25" spans="2:9">
      <c r="B29" s="5"/>
      <c r="C29" s="287"/>
      <c r="D29" s="276"/>
      <c r="E29" s="294" t="s">
        <v>49</v>
      </c>
      <c r="F29" s="292"/>
      <c r="G29" s="293"/>
      <c r="H29" s="244"/>
      <c r="I29" s="10"/>
    </row>
    <row r="30" ht="20.25" spans="2:9">
      <c r="B30" s="5"/>
      <c r="C30" s="243"/>
      <c r="D30" s="130"/>
      <c r="E30" s="130"/>
      <c r="F30" s="130"/>
      <c r="G30" s="295">
        <v>0</v>
      </c>
      <c r="H30" s="244"/>
      <c r="I30" s="10"/>
    </row>
    <row r="31" ht="20.25" spans="2:9">
      <c r="B31" s="5"/>
      <c r="C31" s="243"/>
      <c r="D31" s="130"/>
      <c r="E31" s="296" t="s">
        <v>25</v>
      </c>
      <c r="G31" s="305">
        <f>G24-SUM(G25:G30)</f>
        <v>0</v>
      </c>
      <c r="H31" s="244"/>
      <c r="I31" s="10"/>
    </row>
    <row r="32" ht="20.25" spans="2:9">
      <c r="B32" s="5"/>
      <c r="C32" s="109"/>
      <c r="D32" s="66"/>
      <c r="E32" s="66"/>
      <c r="F32" s="66"/>
      <c r="G32" s="66"/>
      <c r="H32" s="110"/>
      <c r="I32" s="10"/>
    </row>
    <row r="33" ht="20.25" spans="2:9">
      <c r="B33" s="5"/>
      <c r="C33" s="258" t="s">
        <v>26</v>
      </c>
      <c r="D33" s="259"/>
      <c r="E33" s="259"/>
      <c r="F33" s="71"/>
      <c r="G33" s="260">
        <f>G20+G24</f>
        <v>22845564</v>
      </c>
      <c r="H33" s="261">
        <f>H10-G33</f>
        <v>730285029.055</v>
      </c>
      <c r="I33" s="10"/>
    </row>
    <row r="34" ht="19.5" spans="2:9">
      <c r="B34" s="5"/>
      <c r="C34" s="262" t="s">
        <v>27</v>
      </c>
      <c r="D34" s="263"/>
      <c r="E34" s="264"/>
      <c r="F34" s="130"/>
      <c r="G34" s="130"/>
      <c r="H34" s="244"/>
      <c r="I34" s="10"/>
    </row>
    <row r="35" ht="19.5" spans="2:9">
      <c r="B35" s="5"/>
      <c r="C35" s="265" t="s">
        <v>28</v>
      </c>
      <c r="D35" s="266" t="s">
        <v>1</v>
      </c>
      <c r="E35" s="298">
        <f>G31</f>
        <v>0</v>
      </c>
      <c r="F35" s="130"/>
      <c r="G35" s="130"/>
      <c r="H35" s="244"/>
      <c r="I35" s="10"/>
    </row>
    <row r="36" ht="19.5" spans="2:9">
      <c r="B36" s="5"/>
      <c r="C36" s="265" t="s">
        <v>29</v>
      </c>
      <c r="D36" s="266" t="s">
        <v>1</v>
      </c>
      <c r="E36" s="267" t="s">
        <v>30</v>
      </c>
      <c r="F36" s="130"/>
      <c r="G36" s="130"/>
      <c r="H36" s="244"/>
      <c r="I36" s="10"/>
    </row>
    <row r="37" ht="19.5" spans="2:9">
      <c r="B37" s="5"/>
      <c r="C37" s="268" t="s">
        <v>31</v>
      </c>
      <c r="D37" s="269" t="s">
        <v>1</v>
      </c>
      <c r="E37" s="270" t="s">
        <v>32</v>
      </c>
      <c r="F37" s="128"/>
      <c r="G37" s="271" t="s">
        <v>50</v>
      </c>
      <c r="H37" s="272"/>
      <c r="I37" s="10"/>
    </row>
    <row r="38" ht="6" customHeight="1" spans="2:9">
      <c r="B38" s="127"/>
      <c r="C38" s="128"/>
      <c r="D38" s="128"/>
      <c r="E38" s="128"/>
      <c r="F38" s="128"/>
      <c r="G38" s="128"/>
      <c r="H38" s="128"/>
      <c r="I38" s="129"/>
    </row>
    <row r="39" ht="19.5" spans="3:8">
      <c r="C39" s="130"/>
      <c r="D39" s="130"/>
      <c r="E39" s="130"/>
      <c r="F39" s="130"/>
      <c r="G39" s="130"/>
      <c r="H39" s="130"/>
    </row>
    <row r="40" ht="19.5" spans="3:8">
      <c r="C40" s="131" t="s">
        <v>34</v>
      </c>
      <c r="D40" s="132"/>
      <c r="E40" s="133"/>
      <c r="F40" s="134"/>
      <c r="G40" s="134"/>
      <c r="H40" s="130"/>
    </row>
    <row r="41" ht="19.5" spans="3:8">
      <c r="C41" s="131"/>
      <c r="D41" s="132"/>
      <c r="E41" s="133"/>
      <c r="F41" s="135" t="s">
        <v>35</v>
      </c>
      <c r="G41" s="136">
        <v>15000000</v>
      </c>
      <c r="H41" s="130"/>
    </row>
    <row r="42" ht="19.5" spans="3:8">
      <c r="C42" s="131" t="s">
        <v>36</v>
      </c>
      <c r="D42" s="132"/>
      <c r="E42" s="133">
        <v>75313059305.5</v>
      </c>
      <c r="F42" s="137" t="s">
        <v>37</v>
      </c>
      <c r="G42" s="138"/>
      <c r="H42" s="130"/>
    </row>
    <row r="43" ht="19.5" spans="3:8">
      <c r="C43" s="139">
        <v>0.01</v>
      </c>
      <c r="D43" s="132"/>
      <c r="E43" s="133">
        <f>E42*C43</f>
        <v>753130593.055</v>
      </c>
      <c r="F43" s="137" t="s">
        <v>38</v>
      </c>
      <c r="G43" s="140"/>
      <c r="H43" s="130"/>
    </row>
    <row r="44" ht="19.5" spans="3:8">
      <c r="C44" s="130"/>
      <c r="D44" s="130"/>
      <c r="E44" s="130"/>
      <c r="F44" s="130"/>
      <c r="G44" s="130"/>
      <c r="H44" s="130"/>
    </row>
    <row r="45" ht="19.5" spans="3:8">
      <c r="C45" s="130"/>
      <c r="D45" s="130"/>
      <c r="E45" s="130"/>
      <c r="F45" s="130"/>
      <c r="G45" s="130"/>
      <c r="H45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2:E22"/>
    <mergeCell ref="C33:E33"/>
    <mergeCell ref="G37:H37"/>
  </mergeCells>
  <pageMargins left="0.7" right="0.7" top="0.75" bottom="0.75" header="0.3" footer="0.3"/>
  <pageSetup paperSize="9" orientation="portrait"/>
  <headerFooter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view="pageBreakPreview" zoomScale="89" zoomScaleNormal="85" topLeftCell="A40" workbookViewId="0">
      <selection activeCell="G49" sqref="G4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.55238095238095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418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378056838.75</v>
      </c>
      <c r="H5" s="10"/>
    </row>
    <row r="6" ht="22.5" spans="2:8">
      <c r="B6" s="5"/>
      <c r="C6" s="11" t="s">
        <v>7</v>
      </c>
      <c r="D6" s="12" t="s">
        <v>1</v>
      </c>
      <c r="E6" s="15" t="s">
        <v>419</v>
      </c>
      <c r="F6" s="11" t="s">
        <v>9</v>
      </c>
      <c r="G6" s="14">
        <f>G4-G5</f>
        <v>375073754.305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0.498019543706956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8">
      <c r="B34" s="5"/>
      <c r="C34" s="47" t="s">
        <v>399</v>
      </c>
      <c r="D34" s="48" t="s">
        <v>393</v>
      </c>
      <c r="E34" s="49"/>
      <c r="F34" s="50">
        <f>+LK.43!F45+LK.44!F47+LK.45!F47+LK.46!F47</f>
        <v>19130200</v>
      </c>
      <c r="G34" s="56"/>
      <c r="H34" s="10"/>
    </row>
    <row r="35" ht="21" spans="2:8">
      <c r="B35" s="5"/>
      <c r="C35" s="51"/>
      <c r="D35" s="52" t="s">
        <v>400</v>
      </c>
      <c r="E35" s="53"/>
      <c r="F35" s="54"/>
      <c r="G35" s="56"/>
      <c r="H35" s="10"/>
    </row>
    <row r="36" ht="21" spans="2:12">
      <c r="B36" s="5"/>
      <c r="C36" s="47" t="s">
        <v>420</v>
      </c>
      <c r="D36" s="48" t="s">
        <v>407</v>
      </c>
      <c r="E36" s="49"/>
      <c r="F36" s="50">
        <f>+LK.47!F47+LK.48!F49+LK.49!F49</f>
        <v>13603802</v>
      </c>
      <c r="G36" s="58"/>
      <c r="H36" s="10"/>
      <c r="L36" s="1">
        <f>318500000+8000000</f>
        <v>326500000</v>
      </c>
    </row>
    <row r="37" ht="21" spans="2:12">
      <c r="B37" s="5"/>
      <c r="C37" s="51"/>
      <c r="D37" s="52" t="s">
        <v>421</v>
      </c>
      <c r="E37" s="53"/>
      <c r="F37" s="54"/>
      <c r="G37" s="60"/>
      <c r="H37" s="10"/>
      <c r="L37" s="87">
        <v>9433732.75</v>
      </c>
    </row>
    <row r="38" ht="5.4" customHeight="1" spans="2:8">
      <c r="B38" s="5"/>
      <c r="C38" s="61"/>
      <c r="D38" s="62"/>
      <c r="E38" s="62"/>
      <c r="F38" s="63"/>
      <c r="G38" s="64"/>
      <c r="H38" s="10"/>
    </row>
    <row r="39" ht="22.5" spans="2:8">
      <c r="B39" s="5"/>
      <c r="C39" s="65"/>
      <c r="D39" s="66"/>
      <c r="E39" s="67" t="s">
        <v>18</v>
      </c>
      <c r="F39" s="68">
        <f>SUM(F12:F37)</f>
        <v>368984838.75</v>
      </c>
      <c r="G39" s="69">
        <f>G4-F39</f>
        <v>384145754.305</v>
      </c>
      <c r="H39" s="10"/>
    </row>
    <row r="40" ht="5.4" customHeight="1" spans="2:8">
      <c r="B40" s="5"/>
      <c r="C40" s="70"/>
      <c r="D40" s="71"/>
      <c r="E40" s="72"/>
      <c r="F40" s="73"/>
      <c r="G40" s="74"/>
      <c r="H40" s="10"/>
    </row>
    <row r="41" ht="22.5" spans="2:12">
      <c r="B41" s="5"/>
      <c r="C41" s="75"/>
      <c r="D41" s="28" t="s">
        <v>132</v>
      </c>
      <c r="E41" s="76"/>
      <c r="F41" s="77">
        <v>0</v>
      </c>
      <c r="G41" s="78"/>
      <c r="H41" s="10"/>
      <c r="L41" s="1">
        <f>282+11</f>
        <v>293</v>
      </c>
    </row>
    <row r="42" ht="6" customHeight="1" spans="2:8">
      <c r="B42" s="5"/>
      <c r="C42" s="75"/>
      <c r="D42" s="28"/>
      <c r="E42" s="76"/>
      <c r="F42" s="77"/>
      <c r="G42" s="78"/>
      <c r="H42" s="10"/>
    </row>
    <row r="43" ht="21" spans="2:12">
      <c r="B43" s="5"/>
      <c r="C43" s="79" t="s">
        <v>20</v>
      </c>
      <c r="D43" s="80" t="s">
        <v>133</v>
      </c>
      <c r="E43" s="81"/>
      <c r="F43" s="82" t="s">
        <v>134</v>
      </c>
      <c r="G43" s="83" t="s">
        <v>135</v>
      </c>
      <c r="H43" s="10"/>
      <c r="L43" s="141">
        <v>13550567.25</v>
      </c>
    </row>
    <row r="44" ht="21" spans="2:12">
      <c r="B44" s="5"/>
      <c r="C44" s="79"/>
      <c r="D44" s="84" t="s">
        <v>416</v>
      </c>
      <c r="E44" s="85"/>
      <c r="F44" s="86">
        <v>0</v>
      </c>
      <c r="G44" s="87">
        <v>0</v>
      </c>
      <c r="H44" s="10"/>
      <c r="L44" s="1">
        <v>5837917.25</v>
      </c>
    </row>
    <row r="45" ht="19.8" customHeight="1" spans="2:8">
      <c r="B45" s="5"/>
      <c r="C45" s="88"/>
      <c r="D45" s="89"/>
      <c r="E45" s="90"/>
      <c r="F45" s="87"/>
      <c r="G45" s="87"/>
      <c r="H45" s="10"/>
    </row>
    <row r="46" ht="21" spans="2:12">
      <c r="B46" s="5"/>
      <c r="C46" s="88"/>
      <c r="D46" s="91"/>
      <c r="E46" s="92"/>
      <c r="F46" s="87"/>
      <c r="G46" s="87"/>
      <c r="H46" s="10"/>
      <c r="L46" s="142">
        <v>100800</v>
      </c>
    </row>
    <row r="47" ht="7.8" customHeight="1" spans="2:12">
      <c r="B47" s="5"/>
      <c r="C47" s="93"/>
      <c r="D47" s="94"/>
      <c r="E47" s="95"/>
      <c r="F47" s="96"/>
      <c r="G47" s="97"/>
      <c r="H47" s="10"/>
      <c r="L47" s="142"/>
    </row>
    <row r="48" ht="19.2" customHeight="1" spans="2:12">
      <c r="B48" s="5"/>
      <c r="C48" s="79" t="s">
        <v>20</v>
      </c>
      <c r="D48" s="98" t="s">
        <v>141</v>
      </c>
      <c r="E48" s="81"/>
      <c r="F48" s="82"/>
      <c r="G48" s="99"/>
      <c r="H48" s="10"/>
      <c r="L48" s="142">
        <v>14509106.75</v>
      </c>
    </row>
    <row r="49" ht="22.5" spans="2:12">
      <c r="B49" s="5"/>
      <c r="C49" s="93">
        <v>45295</v>
      </c>
      <c r="D49" s="151" t="s">
        <v>422</v>
      </c>
      <c r="E49" s="101"/>
      <c r="F49" s="102">
        <v>9072000</v>
      </c>
      <c r="G49" s="103"/>
      <c r="H49" s="10"/>
      <c r="L49" s="142">
        <v>14509106.75</v>
      </c>
    </row>
    <row r="50" ht="22.5" spans="2:12">
      <c r="B50" s="5"/>
      <c r="C50" s="104"/>
      <c r="D50" s="105"/>
      <c r="E50" s="106" t="s">
        <v>25</v>
      </c>
      <c r="F50" s="107">
        <f>F49-SUM(F44:F46)</f>
        <v>9072000</v>
      </c>
      <c r="G50" s="108"/>
      <c r="H50" s="10"/>
      <c r="L50" s="141">
        <f>F46+G46+3866346.75</f>
        <v>3866346.75</v>
      </c>
    </row>
    <row r="51" ht="10.2" customHeight="1" spans="2:8">
      <c r="B51" s="5"/>
      <c r="C51" s="109"/>
      <c r="D51" s="66"/>
      <c r="E51" s="66"/>
      <c r="F51" s="66"/>
      <c r="G51" s="110"/>
      <c r="H51" s="10"/>
    </row>
    <row r="52" ht="21.75" spans="2:12">
      <c r="B52" s="5"/>
      <c r="C52" s="111" t="s">
        <v>26</v>
      </c>
      <c r="D52" s="112"/>
      <c r="E52" s="112"/>
      <c r="F52" s="113">
        <f>F39+F49</f>
        <v>378056838.75</v>
      </c>
      <c r="G52" s="114">
        <f>G4-F52</f>
        <v>375073754.305</v>
      </c>
      <c r="H52" s="10"/>
      <c r="L52" s="143">
        <v>3064367.25</v>
      </c>
    </row>
    <row r="53" ht="21" spans="2:12">
      <c r="B53" s="5"/>
      <c r="C53" s="115" t="s">
        <v>27</v>
      </c>
      <c r="D53" s="116"/>
      <c r="E53" s="34"/>
      <c r="F53" s="117"/>
      <c r="G53" s="56"/>
      <c r="H53" s="10"/>
      <c r="L53" s="1">
        <f>5324450+3191882.75+6419300</f>
        <v>14935632.75</v>
      </c>
    </row>
    <row r="54" ht="22.5" spans="2:12">
      <c r="B54" s="5"/>
      <c r="C54" s="118" t="s">
        <v>28</v>
      </c>
      <c r="D54" s="119" t="s">
        <v>1</v>
      </c>
      <c r="E54" s="120">
        <f>F50</f>
        <v>9072000</v>
      </c>
      <c r="F54" s="117"/>
      <c r="G54" s="56"/>
      <c r="H54" s="10"/>
      <c r="L54" s="1">
        <v>11659317.25</v>
      </c>
    </row>
    <row r="55" ht="21" spans="2:8">
      <c r="B55" s="5"/>
      <c r="C55" s="118" t="s">
        <v>29</v>
      </c>
      <c r="D55" s="119" t="s">
        <v>1</v>
      </c>
      <c r="E55" s="121" t="s">
        <v>30</v>
      </c>
      <c r="F55" s="117"/>
      <c r="G55" s="56"/>
      <c r="H55" s="10"/>
    </row>
    <row r="56" ht="21" spans="2:8">
      <c r="B56" s="5"/>
      <c r="C56" s="122" t="s">
        <v>31</v>
      </c>
      <c r="D56" s="123" t="s">
        <v>1</v>
      </c>
      <c r="E56" s="124" t="s">
        <v>32</v>
      </c>
      <c r="F56" s="125" t="s">
        <v>50</v>
      </c>
      <c r="G56" s="126"/>
      <c r="H56" s="10"/>
    </row>
    <row r="57" ht="6" customHeight="1" spans="2:8">
      <c r="B57" s="127"/>
      <c r="C57" s="128"/>
      <c r="D57" s="128"/>
      <c r="E57" s="128"/>
      <c r="F57" s="128"/>
      <c r="G57" s="128"/>
      <c r="H57" s="129"/>
    </row>
    <row r="58" ht="19.5" spans="3:7">
      <c r="C58" s="130"/>
      <c r="D58" s="130"/>
      <c r="E58" s="130"/>
      <c r="F58" s="130"/>
      <c r="G58" s="130"/>
    </row>
    <row r="59" ht="19.5" spans="3:7">
      <c r="C59" s="131" t="s">
        <v>34</v>
      </c>
      <c r="D59" s="132"/>
      <c r="E59" s="133"/>
      <c r="F59" s="134"/>
      <c r="G59" s="130"/>
    </row>
    <row r="60" ht="19.5" spans="3:7">
      <c r="C60" s="131"/>
      <c r="D60" s="132"/>
      <c r="E60" s="133"/>
      <c r="F60" s="135" t="s">
        <v>35</v>
      </c>
      <c r="G60" s="136">
        <v>15000000</v>
      </c>
    </row>
    <row r="61" ht="19.5" spans="3:7">
      <c r="C61" s="131" t="s">
        <v>36</v>
      </c>
      <c r="D61" s="132"/>
      <c r="E61" s="133">
        <v>75313059305.5</v>
      </c>
      <c r="F61" s="137" t="s">
        <v>37</v>
      </c>
      <c r="G61" s="138"/>
    </row>
    <row r="62" ht="19.5" spans="3:7">
      <c r="C62" s="139">
        <v>0.01</v>
      </c>
      <c r="D62" s="132"/>
      <c r="E62" s="133">
        <f>E61*C62</f>
        <v>753130593.055</v>
      </c>
      <c r="F62" s="137" t="s">
        <v>38</v>
      </c>
      <c r="G62" s="140"/>
    </row>
    <row r="63" ht="19.5" spans="3:7">
      <c r="C63" s="130"/>
      <c r="D63" s="130"/>
      <c r="E63" s="130"/>
      <c r="F63" s="130"/>
      <c r="G63" s="130"/>
    </row>
    <row r="64" ht="19.5" spans="3:7">
      <c r="C64" s="130"/>
      <c r="D64" s="130"/>
      <c r="E64" s="130"/>
      <c r="F64" s="130"/>
      <c r="G64" s="130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64"/>
  <sheetViews>
    <sheetView view="pageBreakPreview" zoomScale="89" zoomScaleNormal="85" topLeftCell="A32" workbookViewId="0">
      <selection activeCell="G49" sqref="G4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.43809523809524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423</v>
      </c>
      <c r="F4" s="6" t="s">
        <v>3</v>
      </c>
      <c r="G4" s="9">
        <f>+E62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F52</f>
        <v>379615838.75</v>
      </c>
      <c r="H5" s="10"/>
    </row>
    <row r="6" ht="22.5" spans="2:8">
      <c r="B6" s="5"/>
      <c r="C6" s="11" t="s">
        <v>7</v>
      </c>
      <c r="D6" s="12" t="s">
        <v>1</v>
      </c>
      <c r="E6" s="15" t="s">
        <v>424</v>
      </c>
      <c r="F6" s="11" t="s">
        <v>9</v>
      </c>
      <c r="G6" s="14">
        <f>G4-G5</f>
        <v>373514754.305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0.495949517586152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21" spans="2:8">
      <c r="B12" s="5"/>
      <c r="C12" s="47" t="s">
        <v>118</v>
      </c>
      <c r="D12" s="40" t="s">
        <v>119</v>
      </c>
      <c r="E12" s="40"/>
      <c r="F12" s="33">
        <f>(LK.01!G20)+(LK.02!G22)+(LK.03!G22)+(LK.04!G23)</f>
        <v>16847894</v>
      </c>
      <c r="G12" s="41"/>
      <c r="H12" s="10"/>
    </row>
    <row r="13" ht="21" spans="2:8">
      <c r="B13" s="5"/>
      <c r="C13" s="42"/>
      <c r="D13" s="43" t="s">
        <v>120</v>
      </c>
      <c r="E13" s="44"/>
      <c r="F13" s="45"/>
      <c r="G13" s="46"/>
      <c r="H13" s="10"/>
    </row>
    <row r="14" ht="21" spans="2:8">
      <c r="B14" s="5"/>
      <c r="C14" s="47" t="s">
        <v>121</v>
      </c>
      <c r="D14" s="144" t="s">
        <v>122</v>
      </c>
      <c r="E14" s="144"/>
      <c r="F14" s="33">
        <f>(LK.05!G24)+(LK.06!G25)+(LK.07!G26)</f>
        <v>20231057</v>
      </c>
      <c r="G14" s="41"/>
      <c r="H14" s="10"/>
    </row>
    <row r="15" ht="21" spans="2:8">
      <c r="B15" s="5"/>
      <c r="C15" s="42"/>
      <c r="D15" s="145" t="s">
        <v>123</v>
      </c>
      <c r="E15" s="145"/>
      <c r="F15" s="146"/>
      <c r="G15" s="46"/>
      <c r="H15" s="10"/>
    </row>
    <row r="16" ht="21" spans="2:8">
      <c r="B16" s="5"/>
      <c r="C16" s="47" t="s">
        <v>124</v>
      </c>
      <c r="D16" s="144" t="s">
        <v>125</v>
      </c>
      <c r="E16" s="144"/>
      <c r="F16" s="33">
        <f>(LK.08!G27)+(LK.09!G28)+(LK.10!F27)</f>
        <v>44659116.35</v>
      </c>
      <c r="G16" s="41"/>
      <c r="H16" s="10"/>
    </row>
    <row r="17" ht="21" spans="2:8">
      <c r="B17" s="5"/>
      <c r="C17" s="42"/>
      <c r="D17" s="145" t="s">
        <v>126</v>
      </c>
      <c r="E17" s="145"/>
      <c r="F17" s="45"/>
      <c r="G17" s="46"/>
      <c r="H17" s="10"/>
    </row>
    <row r="18" ht="21" spans="2:8">
      <c r="B18" s="5"/>
      <c r="C18" s="47" t="s">
        <v>127</v>
      </c>
      <c r="D18" s="144" t="s">
        <v>128</v>
      </c>
      <c r="E18" s="144"/>
      <c r="F18" s="33">
        <f>(LK.11!F28)+(LK.12!F29)+(LK.13!F30)+(LK.14!F31)</f>
        <v>34847978.4</v>
      </c>
      <c r="G18" s="41"/>
      <c r="H18" s="10"/>
    </row>
    <row r="19" ht="21" spans="2:8">
      <c r="B19" s="5"/>
      <c r="C19" s="42"/>
      <c r="D19" s="145" t="s">
        <v>129</v>
      </c>
      <c r="E19" s="145"/>
      <c r="F19" s="146"/>
      <c r="G19" s="46"/>
      <c r="H19" s="10"/>
    </row>
    <row r="20" ht="21" spans="2:8">
      <c r="B20" s="5"/>
      <c r="C20" s="47" t="s">
        <v>174</v>
      </c>
      <c r="D20" s="147" t="s">
        <v>163</v>
      </c>
      <c r="E20" s="148"/>
      <c r="F20" s="50">
        <f>+LK.15!F32+LK.16!F32+LK.17!F32+LK.18!F34</f>
        <v>41369626</v>
      </c>
      <c r="G20" s="58"/>
      <c r="H20" s="10"/>
    </row>
    <row r="21" ht="20.25" spans="2:8">
      <c r="B21" s="5"/>
      <c r="C21" s="149"/>
      <c r="D21" s="150" t="s">
        <v>175</v>
      </c>
      <c r="E21" s="53"/>
      <c r="F21" s="149"/>
      <c r="G21" s="60"/>
      <c r="H21" s="10"/>
    </row>
    <row r="22" ht="21" spans="2:8">
      <c r="B22" s="5"/>
      <c r="C22" s="47" t="s">
        <v>201</v>
      </c>
      <c r="D22" s="48" t="s">
        <v>202</v>
      </c>
      <c r="E22" s="49"/>
      <c r="F22" s="50">
        <f>LK.19!F34+LK.20!F34+LK.21!F34+LK.22!F35</f>
        <v>41491785</v>
      </c>
      <c r="G22" s="58"/>
      <c r="H22" s="10"/>
    </row>
    <row r="23" ht="21" spans="2:8">
      <c r="B23" s="5"/>
      <c r="C23" s="51"/>
      <c r="D23" s="150" t="s">
        <v>203</v>
      </c>
      <c r="E23" s="53"/>
      <c r="F23" s="54"/>
      <c r="G23" s="60"/>
      <c r="H23" s="10"/>
    </row>
    <row r="24" ht="21" spans="2:8">
      <c r="B24" s="5"/>
      <c r="C24" s="47" t="s">
        <v>236</v>
      </c>
      <c r="D24" s="48" t="s">
        <v>237</v>
      </c>
      <c r="E24" s="49"/>
      <c r="F24" s="50">
        <f>LK.23!F35+LK.24!F36+LK.25!F37+LK.26!F36</f>
        <v>26443376</v>
      </c>
      <c r="G24" s="58"/>
      <c r="H24" s="10"/>
    </row>
    <row r="25" ht="21" spans="2:8">
      <c r="B25" s="5"/>
      <c r="C25" s="51"/>
      <c r="D25" s="150" t="s">
        <v>238</v>
      </c>
      <c r="E25" s="53"/>
      <c r="F25" s="54"/>
      <c r="G25" s="60"/>
      <c r="H25" s="10"/>
    </row>
    <row r="26" ht="21" spans="2:8">
      <c r="B26" s="5"/>
      <c r="C26" s="47" t="s">
        <v>270</v>
      </c>
      <c r="D26" s="48" t="s">
        <v>271</v>
      </c>
      <c r="E26" s="49"/>
      <c r="F26" s="50">
        <f>+LK.27!F36+LK.28!F39+LK.29!F38+LK.30!F39</f>
        <v>24680550</v>
      </c>
      <c r="G26" s="56"/>
      <c r="H26" s="10"/>
    </row>
    <row r="27" ht="21" spans="2:8">
      <c r="B27" s="5"/>
      <c r="C27" s="51"/>
      <c r="D27" s="150" t="s">
        <v>272</v>
      </c>
      <c r="E27" s="53"/>
      <c r="F27" s="54"/>
      <c r="G27" s="56"/>
      <c r="H27" s="10"/>
    </row>
    <row r="28" ht="21" spans="2:8">
      <c r="B28" s="5"/>
      <c r="C28" s="47" t="s">
        <v>307</v>
      </c>
      <c r="D28" s="48" t="s">
        <v>308</v>
      </c>
      <c r="E28" s="49"/>
      <c r="F28" s="50">
        <f>+LK.31!F38+LK.32!F41+LK.33!F42+LK.34!F40</f>
        <v>37143800</v>
      </c>
      <c r="G28" s="56"/>
      <c r="H28" s="10"/>
    </row>
    <row r="29" ht="21" spans="2:8">
      <c r="B29" s="5"/>
      <c r="C29" s="51"/>
      <c r="D29" s="150" t="s">
        <v>309</v>
      </c>
      <c r="E29" s="53"/>
      <c r="F29" s="54"/>
      <c r="G29" s="56"/>
      <c r="H29" s="10"/>
    </row>
    <row r="30" ht="21" spans="2:8">
      <c r="B30" s="5"/>
      <c r="C30" s="47" t="s">
        <v>340</v>
      </c>
      <c r="D30" s="48" t="s">
        <v>341</v>
      </c>
      <c r="E30" s="49"/>
      <c r="F30" s="50">
        <f>+LK.35!F40+LK.36!F43+LK.37!F42+LK.38!F43</f>
        <v>25821400</v>
      </c>
      <c r="G30" s="56"/>
      <c r="H30" s="10"/>
    </row>
    <row r="31" ht="21" spans="2:8">
      <c r="B31" s="5"/>
      <c r="C31" s="51"/>
      <c r="D31" s="150" t="s">
        <v>342</v>
      </c>
      <c r="E31" s="53"/>
      <c r="F31" s="54"/>
      <c r="G31" s="56"/>
      <c r="H31" s="10"/>
    </row>
    <row r="32" ht="21" spans="2:8">
      <c r="B32" s="5"/>
      <c r="C32" s="47" t="s">
        <v>370</v>
      </c>
      <c r="D32" s="48" t="s">
        <v>349</v>
      </c>
      <c r="E32" s="49"/>
      <c r="F32" s="50">
        <f>+LK.39!F43+LK.40!F45+LK.41!F45+LK.42!F45</f>
        <v>22714254</v>
      </c>
      <c r="G32" s="56"/>
      <c r="H32" s="10"/>
    </row>
    <row r="33" ht="21" spans="2:8">
      <c r="B33" s="5"/>
      <c r="C33" s="51"/>
      <c r="D33" s="52" t="s">
        <v>371</v>
      </c>
      <c r="E33" s="53"/>
      <c r="F33" s="54"/>
      <c r="G33" s="56"/>
      <c r="H33" s="10"/>
    </row>
    <row r="34" ht="21" spans="2:8">
      <c r="B34" s="5"/>
      <c r="C34" s="47" t="s">
        <v>399</v>
      </c>
      <c r="D34" s="48" t="s">
        <v>393</v>
      </c>
      <c r="E34" s="49"/>
      <c r="F34" s="50">
        <f>+LK.43!F45+LK.44!F47+LK.45!F47+LK.46!F47</f>
        <v>19130200</v>
      </c>
      <c r="G34" s="56"/>
      <c r="H34" s="10"/>
    </row>
    <row r="35" ht="21" spans="2:8">
      <c r="B35" s="5"/>
      <c r="C35" s="51"/>
      <c r="D35" s="52" t="s">
        <v>400</v>
      </c>
      <c r="E35" s="53"/>
      <c r="F35" s="54"/>
      <c r="G35" s="56"/>
      <c r="H35" s="10"/>
    </row>
    <row r="36" ht="21" spans="2:12">
      <c r="B36" s="5"/>
      <c r="C36" s="47" t="s">
        <v>425</v>
      </c>
      <c r="D36" s="48" t="s">
        <v>407</v>
      </c>
      <c r="E36" s="49"/>
      <c r="F36" s="50">
        <f>+LK.47!F47+LK.48!F49+LK.49!F49+LK.50!F49</f>
        <v>22675802</v>
      </c>
      <c r="G36" s="58"/>
      <c r="H36" s="10"/>
      <c r="L36" s="1">
        <f>318500000+8000000</f>
        <v>326500000</v>
      </c>
    </row>
    <row r="37" ht="21" spans="2:12">
      <c r="B37" s="5"/>
      <c r="C37" s="51"/>
      <c r="D37" s="52" t="s">
        <v>426</v>
      </c>
      <c r="E37" s="53"/>
      <c r="F37" s="54"/>
      <c r="G37" s="60"/>
      <c r="H37" s="10"/>
      <c r="L37" s="87">
        <v>9433732.75</v>
      </c>
    </row>
    <row r="38" ht="5.4" customHeight="1" spans="2:8">
      <c r="B38" s="5"/>
      <c r="C38" s="61"/>
      <c r="D38" s="62"/>
      <c r="E38" s="62"/>
      <c r="F38" s="63"/>
      <c r="G38" s="64"/>
      <c r="H38" s="10"/>
    </row>
    <row r="39" ht="22.5" spans="2:8">
      <c r="B39" s="5"/>
      <c r="C39" s="65"/>
      <c r="D39" s="66"/>
      <c r="E39" s="67" t="s">
        <v>18</v>
      </c>
      <c r="F39" s="68">
        <f>SUM(F12:F37)</f>
        <v>378056838.75</v>
      </c>
      <c r="G39" s="69">
        <f>G4-F39</f>
        <v>375073754.305</v>
      </c>
      <c r="H39" s="10"/>
    </row>
    <row r="40" ht="5.4" customHeight="1" spans="2:8">
      <c r="B40" s="5"/>
      <c r="C40" s="70"/>
      <c r="D40" s="71"/>
      <c r="E40" s="72"/>
      <c r="F40" s="73"/>
      <c r="G40" s="74"/>
      <c r="H40" s="10"/>
    </row>
    <row r="41" ht="22.5" spans="2:12">
      <c r="B41" s="5"/>
      <c r="C41" s="75"/>
      <c r="D41" s="28" t="s">
        <v>132</v>
      </c>
      <c r="E41" s="76"/>
      <c r="F41" s="77">
        <v>0</v>
      </c>
      <c r="G41" s="78"/>
      <c r="H41" s="10"/>
      <c r="L41" s="1">
        <f>282+11</f>
        <v>293</v>
      </c>
    </row>
    <row r="42" ht="6" customHeight="1" spans="2:8">
      <c r="B42" s="5"/>
      <c r="C42" s="75"/>
      <c r="D42" s="28"/>
      <c r="E42" s="76"/>
      <c r="F42" s="77"/>
      <c r="G42" s="78"/>
      <c r="H42" s="10"/>
    </row>
    <row r="43" ht="21" spans="2:12">
      <c r="B43" s="5"/>
      <c r="C43" s="79" t="s">
        <v>20</v>
      </c>
      <c r="D43" s="80" t="s">
        <v>133</v>
      </c>
      <c r="E43" s="81"/>
      <c r="F43" s="82" t="s">
        <v>134</v>
      </c>
      <c r="G43" s="83" t="s">
        <v>135</v>
      </c>
      <c r="H43" s="10"/>
      <c r="L43" s="141">
        <v>13550567.25</v>
      </c>
    </row>
    <row r="44" ht="21" spans="2:12">
      <c r="B44" s="5"/>
      <c r="C44" s="79"/>
      <c r="D44" s="84" t="s">
        <v>416</v>
      </c>
      <c r="E44" s="85"/>
      <c r="F44" s="86">
        <v>0</v>
      </c>
      <c r="G44" s="87">
        <v>0</v>
      </c>
      <c r="H44" s="10"/>
      <c r="L44" s="1">
        <v>5837917.25</v>
      </c>
    </row>
    <row r="45" ht="19.8" customHeight="1" spans="2:8">
      <c r="B45" s="5"/>
      <c r="C45" s="88"/>
      <c r="D45" s="89"/>
      <c r="E45" s="90"/>
      <c r="F45" s="87"/>
      <c r="G45" s="87"/>
      <c r="H45" s="10"/>
    </row>
    <row r="46" ht="21" spans="2:12">
      <c r="B46" s="5"/>
      <c r="C46" s="88"/>
      <c r="D46" s="91"/>
      <c r="E46" s="92"/>
      <c r="F46" s="87"/>
      <c r="G46" s="87"/>
      <c r="H46" s="10"/>
      <c r="L46" s="142">
        <v>100800</v>
      </c>
    </row>
    <row r="47" ht="7.8" customHeight="1" spans="2:12">
      <c r="B47" s="5"/>
      <c r="C47" s="93"/>
      <c r="D47" s="94"/>
      <c r="E47" s="95"/>
      <c r="F47" s="96"/>
      <c r="G47" s="97"/>
      <c r="H47" s="10"/>
      <c r="L47" s="142"/>
    </row>
    <row r="48" ht="19.2" customHeight="1" spans="2:12">
      <c r="B48" s="5"/>
      <c r="C48" s="79" t="s">
        <v>20</v>
      </c>
      <c r="D48" s="98" t="s">
        <v>141</v>
      </c>
      <c r="E48" s="81"/>
      <c r="F48" s="82"/>
      <c r="G48" s="99"/>
      <c r="H48" s="10"/>
      <c r="L48" s="142">
        <v>14509106.75</v>
      </c>
    </row>
    <row r="49" ht="22.5" spans="2:12">
      <c r="B49" s="5"/>
      <c r="C49" s="93">
        <v>45295</v>
      </c>
      <c r="D49" s="151" t="s">
        <v>427</v>
      </c>
      <c r="E49" s="101"/>
      <c r="F49" s="102">
        <v>1559000</v>
      </c>
      <c r="G49" s="103"/>
      <c r="H49" s="10"/>
      <c r="L49" s="142">
        <v>14509106.75</v>
      </c>
    </row>
    <row r="50" ht="22.5" spans="2:12">
      <c r="B50" s="5"/>
      <c r="C50" s="104"/>
      <c r="D50" s="105"/>
      <c r="E50" s="106" t="s">
        <v>25</v>
      </c>
      <c r="F50" s="107">
        <f>F49-SUM(F44:F46)</f>
        <v>1559000</v>
      </c>
      <c r="G50" s="108"/>
      <c r="H50" s="10"/>
      <c r="L50" s="141">
        <f>F46+G46+3866346.75</f>
        <v>3866346.75</v>
      </c>
    </row>
    <row r="51" ht="10.2" customHeight="1" spans="2:8">
      <c r="B51" s="5"/>
      <c r="C51" s="109"/>
      <c r="D51" s="66"/>
      <c r="E51" s="66"/>
      <c r="F51" s="66"/>
      <c r="G51" s="110"/>
      <c r="H51" s="10"/>
    </row>
    <row r="52" ht="21.75" spans="2:12">
      <c r="B52" s="5"/>
      <c r="C52" s="111" t="s">
        <v>26</v>
      </c>
      <c r="D52" s="112"/>
      <c r="E52" s="112"/>
      <c r="F52" s="113">
        <f>F39+F49</f>
        <v>379615838.75</v>
      </c>
      <c r="G52" s="114">
        <f>G4-F52</f>
        <v>373514754.305</v>
      </c>
      <c r="H52" s="10"/>
      <c r="L52" s="143">
        <v>3064367.25</v>
      </c>
    </row>
    <row r="53" ht="21" spans="2:12">
      <c r="B53" s="5"/>
      <c r="C53" s="115" t="s">
        <v>27</v>
      </c>
      <c r="D53" s="116"/>
      <c r="E53" s="34"/>
      <c r="F53" s="117"/>
      <c r="G53" s="56"/>
      <c r="H53" s="10"/>
      <c r="L53" s="1">
        <f>5324450+3191882.75+6419300</f>
        <v>14935632.75</v>
      </c>
    </row>
    <row r="54" ht="22.5" spans="2:12">
      <c r="B54" s="5"/>
      <c r="C54" s="118" t="s">
        <v>28</v>
      </c>
      <c r="D54" s="119" t="s">
        <v>1</v>
      </c>
      <c r="E54" s="120">
        <f>F50</f>
        <v>1559000</v>
      </c>
      <c r="F54" s="117"/>
      <c r="G54" s="56"/>
      <c r="H54" s="10"/>
      <c r="L54" s="1">
        <v>11659317.25</v>
      </c>
    </row>
    <row r="55" ht="21" spans="2:8">
      <c r="B55" s="5"/>
      <c r="C55" s="118" t="s">
        <v>29</v>
      </c>
      <c r="D55" s="119" t="s">
        <v>1</v>
      </c>
      <c r="E55" s="121" t="s">
        <v>30</v>
      </c>
      <c r="F55" s="117"/>
      <c r="G55" s="56"/>
      <c r="H55" s="10"/>
    </row>
    <row r="56" ht="21" spans="2:8">
      <c r="B56" s="5"/>
      <c r="C56" s="122" t="s">
        <v>31</v>
      </c>
      <c r="D56" s="123" t="s">
        <v>1</v>
      </c>
      <c r="E56" s="124" t="s">
        <v>32</v>
      </c>
      <c r="F56" s="125" t="s">
        <v>50</v>
      </c>
      <c r="G56" s="126"/>
      <c r="H56" s="10"/>
    </row>
    <row r="57" ht="6" customHeight="1" spans="2:8">
      <c r="B57" s="127"/>
      <c r="C57" s="128"/>
      <c r="D57" s="128"/>
      <c r="E57" s="128"/>
      <c r="F57" s="128"/>
      <c r="G57" s="128"/>
      <c r="H57" s="129"/>
    </row>
    <row r="58" ht="19.5" spans="3:7">
      <c r="C58" s="130"/>
      <c r="D58" s="130"/>
      <c r="E58" s="130"/>
      <c r="F58" s="130"/>
      <c r="G58" s="130"/>
    </row>
    <row r="59" ht="19.5" spans="3:7">
      <c r="C59" s="131" t="s">
        <v>34</v>
      </c>
      <c r="D59" s="132"/>
      <c r="E59" s="133"/>
      <c r="F59" s="134"/>
      <c r="G59" s="130"/>
    </row>
    <row r="60" ht="19.5" spans="3:7">
      <c r="C60" s="131"/>
      <c r="D60" s="132"/>
      <c r="E60" s="133"/>
      <c r="F60" s="135" t="s">
        <v>35</v>
      </c>
      <c r="G60" s="136">
        <v>15000000</v>
      </c>
    </row>
    <row r="61" ht="19.5" spans="3:7">
      <c r="C61" s="131" t="s">
        <v>36</v>
      </c>
      <c r="D61" s="132"/>
      <c r="E61" s="133">
        <v>75313059305.5</v>
      </c>
      <c r="F61" s="137" t="s">
        <v>37</v>
      </c>
      <c r="G61" s="138"/>
    </row>
    <row r="62" ht="19.5" spans="3:7">
      <c r="C62" s="139">
        <v>0.01</v>
      </c>
      <c r="D62" s="132"/>
      <c r="E62" s="133">
        <f>E61*C62</f>
        <v>753130593.055</v>
      </c>
      <c r="F62" s="137" t="s">
        <v>38</v>
      </c>
      <c r="G62" s="140"/>
    </row>
    <row r="63" ht="19.5" spans="3:7">
      <c r="C63" s="130"/>
      <c r="D63" s="130"/>
      <c r="E63" s="130"/>
      <c r="F63" s="130"/>
      <c r="G63" s="130"/>
    </row>
    <row r="64" ht="19.5" spans="3:7">
      <c r="C64" s="130"/>
      <c r="D64" s="130"/>
      <c r="E64" s="130"/>
      <c r="F64" s="130"/>
      <c r="G64" s="130"/>
    </row>
  </sheetData>
  <mergeCells count="3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1:E41"/>
    <mergeCell ref="D43:E43"/>
    <mergeCell ref="D44:E44"/>
    <mergeCell ref="D45:E45"/>
    <mergeCell ref="D46:E46"/>
    <mergeCell ref="D48:E48"/>
    <mergeCell ref="D49:E49"/>
    <mergeCell ref="C52:E52"/>
    <mergeCell ref="F56:G56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8"/>
  <sheetViews>
    <sheetView view="pageBreakPreview" zoomScale="89" zoomScaleNormal="85" topLeftCell="A14" workbookViewId="0">
      <selection activeCell="F12" sqref="F1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.43809523809524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428</v>
      </c>
      <c r="F4" s="6" t="s">
        <v>3</v>
      </c>
      <c r="G4" s="9">
        <f>+E46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380250838.75</v>
      </c>
      <c r="H5" s="10"/>
    </row>
    <row r="6" ht="22.5" spans="2:8">
      <c r="B6" s="5"/>
      <c r="C6" s="11" t="s">
        <v>7</v>
      </c>
      <c r="D6" s="12" t="s">
        <v>1</v>
      </c>
      <c r="E6" s="15" t="s">
        <v>429</v>
      </c>
      <c r="F6" s="11" t="s">
        <v>9</v>
      </c>
      <c r="G6" s="14">
        <f>G4-G5</f>
        <v>372879754.305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0.495106370320783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19.8" customHeight="1" spans="2:8">
      <c r="B12" s="5"/>
      <c r="C12" s="31" t="s">
        <v>430</v>
      </c>
      <c r="D12" s="32" t="s">
        <v>431</v>
      </c>
      <c r="E12" s="29"/>
      <c r="F12" s="33">
        <v>157955671.75</v>
      </c>
      <c r="G12" s="34"/>
      <c r="H12" s="10"/>
    </row>
    <row r="13" ht="19.8" customHeight="1" spans="2:8">
      <c r="B13" s="5"/>
      <c r="C13" s="35"/>
      <c r="D13" s="36"/>
      <c r="E13" s="37"/>
      <c r="F13" s="38"/>
      <c r="G13" s="34"/>
      <c r="H13" s="10"/>
    </row>
    <row r="14" ht="21" spans="2:8">
      <c r="B14" s="5"/>
      <c r="C14" s="39" t="s">
        <v>432</v>
      </c>
      <c r="D14" s="40" t="s">
        <v>119</v>
      </c>
      <c r="E14" s="40"/>
      <c r="F14" s="33">
        <v>178295165</v>
      </c>
      <c r="G14" s="41"/>
      <c r="H14" s="10"/>
    </row>
    <row r="15" ht="21" spans="2:12">
      <c r="B15" s="5"/>
      <c r="C15" s="42"/>
      <c r="D15" s="43"/>
      <c r="E15" s="44"/>
      <c r="F15" s="45"/>
      <c r="G15" s="46"/>
      <c r="H15" s="10"/>
      <c r="L15" s="141" t="e">
        <f>#REF!+#REF!+#REF!+#REF!+#REF!+#REF!</f>
        <v>#REF!</v>
      </c>
    </row>
    <row r="16" ht="21" spans="2:8">
      <c r="B16" s="5"/>
      <c r="C16" s="47" t="s">
        <v>399</v>
      </c>
      <c r="D16" s="48" t="s">
        <v>393</v>
      </c>
      <c r="E16" s="49"/>
      <c r="F16" s="50">
        <f>+LK.43!F45+LK.44!F47+LK.45!F47+LK.46!F47</f>
        <v>19130200</v>
      </c>
      <c r="G16" s="41"/>
      <c r="H16" s="10"/>
    </row>
    <row r="17" ht="21" spans="2:8">
      <c r="B17" s="5"/>
      <c r="C17" s="51"/>
      <c r="D17" s="52" t="s">
        <v>400</v>
      </c>
      <c r="E17" s="53"/>
      <c r="F17" s="54"/>
      <c r="G17" s="55"/>
      <c r="H17" s="10"/>
    </row>
    <row r="18" ht="21" spans="2:8">
      <c r="B18" s="5"/>
      <c r="C18" s="47" t="s">
        <v>425</v>
      </c>
      <c r="D18" s="48" t="s">
        <v>407</v>
      </c>
      <c r="E18" s="49"/>
      <c r="F18" s="50">
        <f>+LK.47!F47+LK.48!F49+LK.49!F49+LK.50!F49</f>
        <v>22675802</v>
      </c>
      <c r="G18" s="41"/>
      <c r="H18" s="10"/>
    </row>
    <row r="19" ht="21" spans="2:8">
      <c r="B19" s="5"/>
      <c r="C19" s="51"/>
      <c r="D19" s="52" t="s">
        <v>426</v>
      </c>
      <c r="E19" s="53"/>
      <c r="F19" s="54"/>
      <c r="G19" s="56"/>
      <c r="H19" s="10"/>
    </row>
    <row r="20" ht="21" spans="2:12">
      <c r="B20" s="5"/>
      <c r="C20" s="39" t="s">
        <v>433</v>
      </c>
      <c r="D20" s="57" t="s">
        <v>434</v>
      </c>
      <c r="E20" s="49"/>
      <c r="F20" s="50">
        <f>+LK.51!F49</f>
        <v>1559000</v>
      </c>
      <c r="G20" s="58"/>
      <c r="H20" s="10"/>
      <c r="L20" s="1">
        <f>318500000+8000000</f>
        <v>326500000</v>
      </c>
    </row>
    <row r="21" ht="21" spans="2:12">
      <c r="B21" s="5"/>
      <c r="C21" s="51"/>
      <c r="D21" s="59" t="s">
        <v>435</v>
      </c>
      <c r="E21" s="53"/>
      <c r="F21" s="54"/>
      <c r="G21" s="60"/>
      <c r="H21" s="10"/>
      <c r="L21" s="87">
        <v>9433732.75</v>
      </c>
    </row>
    <row r="22" ht="5.4" customHeight="1" spans="2:8">
      <c r="B22" s="5"/>
      <c r="C22" s="61"/>
      <c r="D22" s="62"/>
      <c r="E22" s="62"/>
      <c r="F22" s="63"/>
      <c r="G22" s="64"/>
      <c r="H22" s="10"/>
    </row>
    <row r="23" ht="22.5" spans="2:8">
      <c r="B23" s="5"/>
      <c r="C23" s="65"/>
      <c r="D23" s="66"/>
      <c r="E23" s="67" t="s">
        <v>18</v>
      </c>
      <c r="F23" s="68">
        <f>SUM(F12:F21)</f>
        <v>379615838.75</v>
      </c>
      <c r="G23" s="69">
        <f>G4-F23</f>
        <v>373514754.305</v>
      </c>
      <c r="H23" s="10"/>
    </row>
    <row r="24" ht="5.4" customHeight="1" spans="2:8">
      <c r="B24" s="5"/>
      <c r="C24" s="70"/>
      <c r="D24" s="71"/>
      <c r="E24" s="72"/>
      <c r="F24" s="73"/>
      <c r="G24" s="74"/>
      <c r="H24" s="10"/>
    </row>
    <row r="25" ht="22.5" spans="2:12">
      <c r="B25" s="5"/>
      <c r="C25" s="75"/>
      <c r="D25" s="28" t="s">
        <v>132</v>
      </c>
      <c r="E25" s="76"/>
      <c r="F25" s="77">
        <v>0</v>
      </c>
      <c r="G25" s="78"/>
      <c r="H25" s="10"/>
      <c r="L25" s="1">
        <f>282+11</f>
        <v>293</v>
      </c>
    </row>
    <row r="26" ht="6" customHeight="1" spans="2:8">
      <c r="B26" s="5"/>
      <c r="C26" s="75"/>
      <c r="D26" s="28"/>
      <c r="E26" s="76"/>
      <c r="F26" s="77"/>
      <c r="G26" s="78"/>
      <c r="H26" s="10"/>
    </row>
    <row r="27" ht="21" spans="2:12">
      <c r="B27" s="5"/>
      <c r="C27" s="79" t="s">
        <v>20</v>
      </c>
      <c r="D27" s="80" t="s">
        <v>133</v>
      </c>
      <c r="E27" s="81"/>
      <c r="F27" s="82" t="s">
        <v>134</v>
      </c>
      <c r="G27" s="83" t="s">
        <v>135</v>
      </c>
      <c r="H27" s="10"/>
      <c r="L27" s="141">
        <v>13550567.25</v>
      </c>
    </row>
    <row r="28" ht="21" spans="2:12">
      <c r="B28" s="5"/>
      <c r="C28" s="79"/>
      <c r="D28" s="84" t="s">
        <v>416</v>
      </c>
      <c r="E28" s="85"/>
      <c r="F28" s="86">
        <v>0</v>
      </c>
      <c r="G28" s="87">
        <v>0</v>
      </c>
      <c r="H28" s="10"/>
      <c r="L28" s="1">
        <v>5837917.25</v>
      </c>
    </row>
    <row r="29" ht="19.8" customHeight="1" spans="2:8">
      <c r="B29" s="5"/>
      <c r="C29" s="88"/>
      <c r="D29" s="89"/>
      <c r="E29" s="90"/>
      <c r="F29" s="87"/>
      <c r="G29" s="87"/>
      <c r="H29" s="10"/>
    </row>
    <row r="30" ht="21" spans="2:12">
      <c r="B30" s="5"/>
      <c r="C30" s="88"/>
      <c r="D30" s="91"/>
      <c r="E30" s="92"/>
      <c r="F30" s="87"/>
      <c r="G30" s="87"/>
      <c r="H30" s="10"/>
      <c r="L30" s="142">
        <v>100800</v>
      </c>
    </row>
    <row r="31" ht="7.8" customHeight="1" spans="2:12">
      <c r="B31" s="5"/>
      <c r="C31" s="93"/>
      <c r="D31" s="94"/>
      <c r="E31" s="95"/>
      <c r="F31" s="96"/>
      <c r="G31" s="97"/>
      <c r="H31" s="10"/>
      <c r="L31" s="142"/>
    </row>
    <row r="32" ht="19.2" customHeight="1" spans="2:12">
      <c r="B32" s="5"/>
      <c r="C32" s="79" t="s">
        <v>20</v>
      </c>
      <c r="D32" s="98" t="s">
        <v>141</v>
      </c>
      <c r="E32" s="81"/>
      <c r="F32" s="82"/>
      <c r="G32" s="99"/>
      <c r="H32" s="10"/>
      <c r="L32" s="142">
        <v>14509106.75</v>
      </c>
    </row>
    <row r="33" ht="22.5" spans="2:12">
      <c r="B33" s="5"/>
      <c r="C33" s="93">
        <v>45293</v>
      </c>
      <c r="D33" s="100" t="s">
        <v>436</v>
      </c>
      <c r="E33" s="101"/>
      <c r="F33" s="102">
        <v>635000</v>
      </c>
      <c r="G33" s="103"/>
      <c r="H33" s="10"/>
      <c r="L33" s="142">
        <v>14509106.75</v>
      </c>
    </row>
    <row r="34" ht="22.5" spans="2:12">
      <c r="B34" s="5"/>
      <c r="C34" s="104"/>
      <c r="D34" s="105"/>
      <c r="E34" s="106" t="s">
        <v>25</v>
      </c>
      <c r="F34" s="107">
        <f>F33-SUM(F28:F30)</f>
        <v>635000</v>
      </c>
      <c r="G34" s="108"/>
      <c r="H34" s="10"/>
      <c r="L34" s="141">
        <f>F30+G30+3866346.75</f>
        <v>3866346.75</v>
      </c>
    </row>
    <row r="35" ht="10.2" customHeight="1" spans="2:8">
      <c r="B35" s="5"/>
      <c r="C35" s="109"/>
      <c r="D35" s="66"/>
      <c r="E35" s="66"/>
      <c r="F35" s="66"/>
      <c r="G35" s="110"/>
      <c r="H35" s="10"/>
    </row>
    <row r="36" ht="21.75" spans="2:12">
      <c r="B36" s="5"/>
      <c r="C36" s="111" t="s">
        <v>26</v>
      </c>
      <c r="D36" s="112"/>
      <c r="E36" s="112"/>
      <c r="F36" s="113">
        <f>F23+F33</f>
        <v>380250838.75</v>
      </c>
      <c r="G36" s="114">
        <f>G4-F36</f>
        <v>372879754.305</v>
      </c>
      <c r="H36" s="10"/>
      <c r="L36" s="143">
        <v>3064367.25</v>
      </c>
    </row>
    <row r="37" ht="21" spans="2:12">
      <c r="B37" s="5"/>
      <c r="C37" s="115" t="s">
        <v>27</v>
      </c>
      <c r="D37" s="116"/>
      <c r="E37" s="34"/>
      <c r="F37" s="117"/>
      <c r="G37" s="56"/>
      <c r="H37" s="10"/>
      <c r="L37" s="1">
        <f>5324450+3191882.75+6419300</f>
        <v>14935632.75</v>
      </c>
    </row>
    <row r="38" ht="22.5" spans="2:12">
      <c r="B38" s="5"/>
      <c r="C38" s="118" t="s">
        <v>28</v>
      </c>
      <c r="D38" s="119" t="s">
        <v>1</v>
      </c>
      <c r="E38" s="120">
        <f>F34</f>
        <v>635000</v>
      </c>
      <c r="F38" s="117"/>
      <c r="G38" s="56"/>
      <c r="H38" s="10"/>
      <c r="L38" s="1">
        <v>11659317.25</v>
      </c>
    </row>
    <row r="39" ht="21" spans="2:8">
      <c r="B39" s="5"/>
      <c r="C39" s="118" t="s">
        <v>29</v>
      </c>
      <c r="D39" s="119" t="s">
        <v>1</v>
      </c>
      <c r="E39" s="121" t="s">
        <v>30</v>
      </c>
      <c r="F39" s="117"/>
      <c r="G39" s="56"/>
      <c r="H39" s="10"/>
    </row>
    <row r="40" ht="21" spans="2:8">
      <c r="B40" s="5"/>
      <c r="C40" s="122" t="s">
        <v>31</v>
      </c>
      <c r="D40" s="123" t="s">
        <v>1</v>
      </c>
      <c r="E40" s="124" t="s">
        <v>32</v>
      </c>
      <c r="F40" s="125" t="s">
        <v>50</v>
      </c>
      <c r="G40" s="126"/>
      <c r="H40" s="10"/>
    </row>
    <row r="41" ht="6" customHeight="1" spans="2:8">
      <c r="B41" s="127"/>
      <c r="C41" s="128"/>
      <c r="D41" s="128"/>
      <c r="E41" s="128"/>
      <c r="F41" s="128"/>
      <c r="G41" s="128"/>
      <c r="H41" s="129"/>
    </row>
    <row r="42" ht="19.5" spans="3:7">
      <c r="C42" s="130"/>
      <c r="D42" s="130"/>
      <c r="E42" s="130"/>
      <c r="F42" s="130"/>
      <c r="G42" s="130"/>
    </row>
    <row r="43" ht="19.5" spans="3:7">
      <c r="C43" s="131" t="s">
        <v>34</v>
      </c>
      <c r="D43" s="132"/>
      <c r="E43" s="133"/>
      <c r="F43" s="134"/>
      <c r="G43" s="130"/>
    </row>
    <row r="44" ht="19.5" spans="3:7">
      <c r="C44" s="131"/>
      <c r="D44" s="132"/>
      <c r="E44" s="133"/>
      <c r="F44" s="135" t="s">
        <v>35</v>
      </c>
      <c r="G44" s="136">
        <v>15000000</v>
      </c>
    </row>
    <row r="45" ht="19.5" spans="3:7">
      <c r="C45" s="131" t="s">
        <v>36</v>
      </c>
      <c r="D45" s="132"/>
      <c r="E45" s="133">
        <v>75313059305.5</v>
      </c>
      <c r="F45" s="137" t="s">
        <v>37</v>
      </c>
      <c r="G45" s="138"/>
    </row>
    <row r="46" ht="19.5" spans="3:7">
      <c r="C46" s="139">
        <v>0.01</v>
      </c>
      <c r="D46" s="132"/>
      <c r="E46" s="133">
        <f>E45*C46</f>
        <v>753130593.055</v>
      </c>
      <c r="F46" s="137" t="s">
        <v>38</v>
      </c>
      <c r="G46" s="140"/>
    </row>
    <row r="47" ht="19.5" spans="3:7">
      <c r="C47" s="130"/>
      <c r="D47" s="130"/>
      <c r="E47" s="130"/>
      <c r="F47" s="130"/>
      <c r="G47" s="130"/>
    </row>
    <row r="48" ht="19.5" spans="3:7">
      <c r="C48" s="130"/>
      <c r="D48" s="130"/>
      <c r="E48" s="130"/>
      <c r="F48" s="130"/>
      <c r="G48" s="130"/>
    </row>
  </sheetData>
  <mergeCells count="21">
    <mergeCell ref="C9:E9"/>
    <mergeCell ref="D10:E10"/>
    <mergeCell ref="D11:E11"/>
    <mergeCell ref="D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0:E30"/>
    <mergeCell ref="D32:E32"/>
    <mergeCell ref="D33:E33"/>
    <mergeCell ref="C36:E36"/>
    <mergeCell ref="F40:G40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8"/>
  <sheetViews>
    <sheetView view="pageBreakPreview" zoomScale="89" zoomScaleNormal="85" topLeftCell="A16" workbookViewId="0">
      <selection activeCell="G33" sqref="G3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.43809523809524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437</v>
      </c>
      <c r="F4" s="6" t="s">
        <v>3</v>
      </c>
      <c r="G4" s="9">
        <f>+E46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381323338.75</v>
      </c>
      <c r="H5" s="10"/>
    </row>
    <row r="6" ht="22.5" spans="2:8">
      <c r="B6" s="5"/>
      <c r="C6" s="11" t="s">
        <v>7</v>
      </c>
      <c r="D6" s="12" t="s">
        <v>1</v>
      </c>
      <c r="E6" s="15" t="s">
        <v>438</v>
      </c>
      <c r="F6" s="11" t="s">
        <v>9</v>
      </c>
      <c r="G6" s="14">
        <f>G4-G5</f>
        <v>371807254.305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0.49368231450644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19.8" customHeight="1" spans="2:8">
      <c r="B12" s="5"/>
      <c r="C12" s="31" t="s">
        <v>430</v>
      </c>
      <c r="D12" s="32" t="s">
        <v>431</v>
      </c>
      <c r="E12" s="29"/>
      <c r="F12" s="33">
        <v>157955671.75</v>
      </c>
      <c r="G12" s="34"/>
      <c r="H12" s="10"/>
    </row>
    <row r="13" ht="19.8" customHeight="1" spans="2:8">
      <c r="B13" s="5"/>
      <c r="C13" s="35"/>
      <c r="D13" s="36"/>
      <c r="E13" s="37"/>
      <c r="F13" s="38"/>
      <c r="G13" s="34"/>
      <c r="H13" s="10"/>
    </row>
    <row r="14" ht="21" spans="2:8">
      <c r="B14" s="5"/>
      <c r="C14" s="39" t="s">
        <v>432</v>
      </c>
      <c r="D14" s="40" t="s">
        <v>119</v>
      </c>
      <c r="E14" s="40"/>
      <c r="F14" s="33">
        <v>178295165</v>
      </c>
      <c r="G14" s="41"/>
      <c r="H14" s="10"/>
    </row>
    <row r="15" ht="21" spans="2:12">
      <c r="B15" s="5"/>
      <c r="C15" s="42"/>
      <c r="D15" s="43"/>
      <c r="E15" s="44"/>
      <c r="F15" s="45"/>
      <c r="G15" s="46"/>
      <c r="H15" s="10"/>
      <c r="L15" s="141" t="e">
        <f>#REF!+#REF!+#REF!+#REF!+#REF!+#REF!</f>
        <v>#REF!</v>
      </c>
    </row>
    <row r="16" ht="21" spans="2:8">
      <c r="B16" s="5"/>
      <c r="C16" s="47" t="s">
        <v>399</v>
      </c>
      <c r="D16" s="48" t="s">
        <v>393</v>
      </c>
      <c r="E16" s="49"/>
      <c r="F16" s="50">
        <f>+LK.43!F45+LK.44!F47+LK.45!F47+LK.46!F47</f>
        <v>19130200</v>
      </c>
      <c r="G16" s="41"/>
      <c r="H16" s="10"/>
    </row>
    <row r="17" ht="21" spans="2:8">
      <c r="B17" s="5"/>
      <c r="C17" s="51"/>
      <c r="D17" s="52" t="s">
        <v>400</v>
      </c>
      <c r="E17" s="53"/>
      <c r="F17" s="54"/>
      <c r="G17" s="55"/>
      <c r="H17" s="10"/>
    </row>
    <row r="18" ht="21" spans="2:8">
      <c r="B18" s="5"/>
      <c r="C18" s="47" t="s">
        <v>425</v>
      </c>
      <c r="D18" s="48" t="s">
        <v>407</v>
      </c>
      <c r="E18" s="49"/>
      <c r="F18" s="50">
        <f>+LK.47!F47+LK.48!F49+LK.49!F49+LK.50!F49</f>
        <v>22675802</v>
      </c>
      <c r="G18" s="41"/>
      <c r="H18" s="10"/>
    </row>
    <row r="19" ht="21" spans="2:8">
      <c r="B19" s="5"/>
      <c r="C19" s="51"/>
      <c r="D19" s="52" t="s">
        <v>426</v>
      </c>
      <c r="E19" s="53"/>
      <c r="F19" s="54"/>
      <c r="G19" s="56"/>
      <c r="H19" s="10"/>
    </row>
    <row r="20" ht="21" spans="2:12">
      <c r="B20" s="5"/>
      <c r="C20" s="39" t="s">
        <v>439</v>
      </c>
      <c r="D20" s="57" t="s">
        <v>434</v>
      </c>
      <c r="E20" s="49"/>
      <c r="F20" s="50">
        <f>+LK.51!F49+LK.52!F33</f>
        <v>2194000</v>
      </c>
      <c r="G20" s="58"/>
      <c r="H20" s="10"/>
      <c r="L20" s="1">
        <f>318500000+8000000</f>
        <v>326500000</v>
      </c>
    </row>
    <row r="21" ht="21" spans="2:12">
      <c r="B21" s="5"/>
      <c r="C21" s="51"/>
      <c r="D21" s="59" t="s">
        <v>440</v>
      </c>
      <c r="E21" s="53"/>
      <c r="F21" s="54"/>
      <c r="G21" s="60"/>
      <c r="H21" s="10"/>
      <c r="L21" s="87">
        <v>9433732.75</v>
      </c>
    </row>
    <row r="22" ht="5.4" customHeight="1" spans="2:8">
      <c r="B22" s="5"/>
      <c r="C22" s="61"/>
      <c r="D22" s="62"/>
      <c r="E22" s="62"/>
      <c r="F22" s="63"/>
      <c r="G22" s="64"/>
      <c r="H22" s="10"/>
    </row>
    <row r="23" ht="22.5" spans="2:8">
      <c r="B23" s="5"/>
      <c r="C23" s="65"/>
      <c r="D23" s="66"/>
      <c r="E23" s="67" t="s">
        <v>18</v>
      </c>
      <c r="F23" s="68">
        <f>SUM(F12:F21)</f>
        <v>380250838.75</v>
      </c>
      <c r="G23" s="69">
        <f>G4-F23</f>
        <v>372879754.305</v>
      </c>
      <c r="H23" s="10"/>
    </row>
    <row r="24" ht="5.4" customHeight="1" spans="2:8">
      <c r="B24" s="5"/>
      <c r="C24" s="70"/>
      <c r="D24" s="71"/>
      <c r="E24" s="72"/>
      <c r="F24" s="73"/>
      <c r="G24" s="74"/>
      <c r="H24" s="10"/>
    </row>
    <row r="25" ht="22.5" spans="2:12">
      <c r="B25" s="5"/>
      <c r="C25" s="75"/>
      <c r="D25" s="28" t="s">
        <v>132</v>
      </c>
      <c r="E25" s="76"/>
      <c r="F25" s="77">
        <v>0</v>
      </c>
      <c r="G25" s="78"/>
      <c r="H25" s="10"/>
      <c r="L25" s="1">
        <f>282+11</f>
        <v>293</v>
      </c>
    </row>
    <row r="26" ht="6" customHeight="1" spans="2:8">
      <c r="B26" s="5"/>
      <c r="C26" s="75"/>
      <c r="D26" s="28"/>
      <c r="E26" s="76"/>
      <c r="F26" s="77"/>
      <c r="G26" s="78"/>
      <c r="H26" s="10"/>
    </row>
    <row r="27" ht="21" spans="2:12">
      <c r="B27" s="5"/>
      <c r="C27" s="79" t="s">
        <v>20</v>
      </c>
      <c r="D27" s="80" t="s">
        <v>133</v>
      </c>
      <c r="E27" s="81"/>
      <c r="F27" s="82" t="s">
        <v>134</v>
      </c>
      <c r="G27" s="83" t="s">
        <v>135</v>
      </c>
      <c r="H27" s="10"/>
      <c r="L27" s="141">
        <v>13550567.25</v>
      </c>
    </row>
    <row r="28" ht="21" spans="2:12">
      <c r="B28" s="5"/>
      <c r="C28" s="79"/>
      <c r="D28" s="84" t="s">
        <v>416</v>
      </c>
      <c r="E28" s="85"/>
      <c r="F28" s="86">
        <v>0</v>
      </c>
      <c r="G28" s="87">
        <v>0</v>
      </c>
      <c r="H28" s="10"/>
      <c r="L28" s="1">
        <v>5837917.25</v>
      </c>
    </row>
    <row r="29" ht="19.8" customHeight="1" spans="2:8">
      <c r="B29" s="5"/>
      <c r="C29" s="88"/>
      <c r="D29" s="89"/>
      <c r="E29" s="90"/>
      <c r="F29" s="87"/>
      <c r="G29" s="87"/>
      <c r="H29" s="10"/>
    </row>
    <row r="30" ht="21" spans="2:12">
      <c r="B30" s="5"/>
      <c r="C30" s="88"/>
      <c r="D30" s="91"/>
      <c r="E30" s="92"/>
      <c r="F30" s="87"/>
      <c r="G30" s="87"/>
      <c r="H30" s="10"/>
      <c r="L30" s="142">
        <v>100800</v>
      </c>
    </row>
    <row r="31" ht="7.8" customHeight="1" spans="2:12">
      <c r="B31" s="5"/>
      <c r="C31" s="93"/>
      <c r="D31" s="94"/>
      <c r="E31" s="95"/>
      <c r="F31" s="96"/>
      <c r="G31" s="97"/>
      <c r="H31" s="10"/>
      <c r="L31" s="142"/>
    </row>
    <row r="32" ht="19.2" customHeight="1" spans="2:12">
      <c r="B32" s="5"/>
      <c r="C32" s="79" t="s">
        <v>20</v>
      </c>
      <c r="D32" s="98" t="s">
        <v>141</v>
      </c>
      <c r="E32" s="81"/>
      <c r="F32" s="82"/>
      <c r="G32" s="99"/>
      <c r="H32" s="10"/>
      <c r="L32" s="142">
        <v>14509106.75</v>
      </c>
    </row>
    <row r="33" ht="22.5" spans="2:12">
      <c r="B33" s="5"/>
      <c r="C33" s="93">
        <v>45349</v>
      </c>
      <c r="D33" s="100" t="s">
        <v>441</v>
      </c>
      <c r="E33" s="101"/>
      <c r="F33" s="102">
        <v>1072500</v>
      </c>
      <c r="G33" s="103"/>
      <c r="H33" s="10"/>
      <c r="L33" s="142">
        <v>14509106.75</v>
      </c>
    </row>
    <row r="34" ht="22.5" spans="2:12">
      <c r="B34" s="5"/>
      <c r="C34" s="104"/>
      <c r="D34" s="105"/>
      <c r="E34" s="106" t="s">
        <v>25</v>
      </c>
      <c r="F34" s="107">
        <f>F33-SUM(F28:F30)</f>
        <v>1072500</v>
      </c>
      <c r="G34" s="108"/>
      <c r="H34" s="10"/>
      <c r="L34" s="141">
        <f>F30+G30+3866346.75</f>
        <v>3866346.75</v>
      </c>
    </row>
    <row r="35" ht="10.2" customHeight="1" spans="2:8">
      <c r="B35" s="5"/>
      <c r="C35" s="109"/>
      <c r="D35" s="66"/>
      <c r="E35" s="66"/>
      <c r="F35" s="66"/>
      <c r="G35" s="110"/>
      <c r="H35" s="10"/>
    </row>
    <row r="36" ht="21.75" spans="2:12">
      <c r="B36" s="5"/>
      <c r="C36" s="111" t="s">
        <v>26</v>
      </c>
      <c r="D36" s="112"/>
      <c r="E36" s="112"/>
      <c r="F36" s="113">
        <f>F23+F33</f>
        <v>381323338.75</v>
      </c>
      <c r="G36" s="114">
        <f>G4-F36</f>
        <v>371807254.305</v>
      </c>
      <c r="H36" s="10"/>
      <c r="L36" s="143">
        <v>3064367.25</v>
      </c>
    </row>
    <row r="37" ht="21" spans="2:12">
      <c r="B37" s="5"/>
      <c r="C37" s="115" t="s">
        <v>27</v>
      </c>
      <c r="D37" s="116"/>
      <c r="E37" s="34"/>
      <c r="F37" s="117"/>
      <c r="G37" s="56"/>
      <c r="H37" s="10"/>
      <c r="L37" s="1">
        <f>5324450+3191882.75+6419300</f>
        <v>14935632.75</v>
      </c>
    </row>
    <row r="38" ht="22.5" spans="2:12">
      <c r="B38" s="5"/>
      <c r="C38" s="118" t="s">
        <v>28</v>
      </c>
      <c r="D38" s="119" t="s">
        <v>1</v>
      </c>
      <c r="E38" s="120">
        <f>F34</f>
        <v>1072500</v>
      </c>
      <c r="F38" s="117"/>
      <c r="G38" s="56"/>
      <c r="H38" s="10"/>
      <c r="L38" s="1">
        <v>11659317.25</v>
      </c>
    </row>
    <row r="39" ht="21" spans="2:8">
      <c r="B39" s="5"/>
      <c r="C39" s="118" t="s">
        <v>29</v>
      </c>
      <c r="D39" s="119" t="s">
        <v>1</v>
      </c>
      <c r="E39" s="121" t="s">
        <v>30</v>
      </c>
      <c r="F39" s="117"/>
      <c r="G39" s="56"/>
      <c r="H39" s="10"/>
    </row>
    <row r="40" ht="21" spans="2:8">
      <c r="B40" s="5"/>
      <c r="C40" s="122" t="s">
        <v>31</v>
      </c>
      <c r="D40" s="123" t="s">
        <v>1</v>
      </c>
      <c r="E40" s="124" t="s">
        <v>32</v>
      </c>
      <c r="F40" s="125" t="s">
        <v>50</v>
      </c>
      <c r="G40" s="126"/>
      <c r="H40" s="10"/>
    </row>
    <row r="41" ht="6" customHeight="1" spans="2:8">
      <c r="B41" s="127"/>
      <c r="C41" s="128"/>
      <c r="D41" s="128"/>
      <c r="E41" s="128"/>
      <c r="F41" s="128"/>
      <c r="G41" s="128"/>
      <c r="H41" s="129"/>
    </row>
    <row r="42" ht="19.5" spans="3:7">
      <c r="C42" s="130"/>
      <c r="D42" s="130"/>
      <c r="E42" s="130"/>
      <c r="F42" s="130"/>
      <c r="G42" s="130"/>
    </row>
    <row r="43" ht="19.5" spans="3:7">
      <c r="C43" s="131" t="s">
        <v>34</v>
      </c>
      <c r="D43" s="132"/>
      <c r="E43" s="133"/>
      <c r="F43" s="134"/>
      <c r="G43" s="130"/>
    </row>
    <row r="44" ht="19.5" spans="3:7">
      <c r="C44" s="131"/>
      <c r="D44" s="132"/>
      <c r="E44" s="133"/>
      <c r="F44" s="135" t="s">
        <v>35</v>
      </c>
      <c r="G44" s="136">
        <v>15000000</v>
      </c>
    </row>
    <row r="45" ht="19.5" spans="3:7">
      <c r="C45" s="131" t="s">
        <v>36</v>
      </c>
      <c r="D45" s="132"/>
      <c r="E45" s="133">
        <v>75313059305.5</v>
      </c>
      <c r="F45" s="137" t="s">
        <v>37</v>
      </c>
      <c r="G45" s="138"/>
    </row>
    <row r="46" ht="19.5" spans="3:7">
      <c r="C46" s="139">
        <v>0.01</v>
      </c>
      <c r="D46" s="132"/>
      <c r="E46" s="133">
        <f>E45*C46</f>
        <v>753130593.055</v>
      </c>
      <c r="F46" s="137" t="s">
        <v>38</v>
      </c>
      <c r="G46" s="140"/>
    </row>
    <row r="47" ht="19.5" spans="3:7">
      <c r="C47" s="130"/>
      <c r="D47" s="130"/>
      <c r="E47" s="130"/>
      <c r="F47" s="130"/>
      <c r="G47" s="130"/>
    </row>
    <row r="48" ht="19.5" spans="3:7">
      <c r="C48" s="130"/>
      <c r="D48" s="130"/>
      <c r="E48" s="130"/>
      <c r="F48" s="130"/>
      <c r="G48" s="130"/>
    </row>
  </sheetData>
  <mergeCells count="21">
    <mergeCell ref="C9:E9"/>
    <mergeCell ref="D10:E10"/>
    <mergeCell ref="D11:E11"/>
    <mergeCell ref="D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0:E30"/>
    <mergeCell ref="D32:E32"/>
    <mergeCell ref="D33:E33"/>
    <mergeCell ref="C36:E36"/>
    <mergeCell ref="F40:G40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8"/>
  <sheetViews>
    <sheetView tabSelected="1" view="pageBreakPreview" zoomScale="89" zoomScaleNormal="85" topLeftCell="A14" workbookViewId="0">
      <selection activeCell="D34" sqref="D3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4.4380952380952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.43809523809524" style="1" customWidth="1"/>
    <col min="9" max="9" width="8.88571428571429" style="1" customWidth="1"/>
    <col min="10" max="11" width="8.88571428571429" style="1"/>
    <col min="12" max="12" width="23.3333333333333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442</v>
      </c>
      <c r="F4" s="6" t="s">
        <v>3</v>
      </c>
      <c r="G4" s="9">
        <f>+E46</f>
        <v>753130593.055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F36</f>
        <v>382023338.75</v>
      </c>
      <c r="H5" s="10"/>
    </row>
    <row r="6" ht="22.5" spans="2:8">
      <c r="B6" s="5"/>
      <c r="C6" s="11" t="s">
        <v>7</v>
      </c>
      <c r="D6" s="12" t="s">
        <v>1</v>
      </c>
      <c r="E6" s="15" t="s">
        <v>443</v>
      </c>
      <c r="F6" s="11" t="s">
        <v>9</v>
      </c>
      <c r="G6" s="14">
        <f>G4-G5</f>
        <v>371107254.305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0.49275286082808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13</v>
      </c>
      <c r="G9" s="22" t="s">
        <v>14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117</v>
      </c>
      <c r="D11" s="28" t="s">
        <v>17</v>
      </c>
      <c r="E11" s="29"/>
      <c r="F11" s="30"/>
      <c r="G11" s="26"/>
      <c r="H11" s="10"/>
    </row>
    <row r="12" ht="19.8" customHeight="1" spans="2:8">
      <c r="B12" s="5"/>
      <c r="C12" s="31" t="s">
        <v>430</v>
      </c>
      <c r="D12" s="32" t="s">
        <v>431</v>
      </c>
      <c r="E12" s="29"/>
      <c r="F12" s="33">
        <v>157955671.75</v>
      </c>
      <c r="G12" s="34"/>
      <c r="H12" s="10"/>
    </row>
    <row r="13" ht="19.8" customHeight="1" spans="2:8">
      <c r="B13" s="5"/>
      <c r="C13" s="35"/>
      <c r="D13" s="36"/>
      <c r="E13" s="37"/>
      <c r="F13" s="38"/>
      <c r="G13" s="34"/>
      <c r="H13" s="10"/>
    </row>
    <row r="14" ht="21" spans="2:8">
      <c r="B14" s="5"/>
      <c r="C14" s="39" t="s">
        <v>432</v>
      </c>
      <c r="D14" s="40" t="s">
        <v>119</v>
      </c>
      <c r="E14" s="40"/>
      <c r="F14" s="33">
        <v>178295165</v>
      </c>
      <c r="G14" s="41"/>
      <c r="H14" s="10"/>
    </row>
    <row r="15" ht="21" spans="2:12">
      <c r="B15" s="5"/>
      <c r="C15" s="42"/>
      <c r="D15" s="43"/>
      <c r="E15" s="44"/>
      <c r="F15" s="45"/>
      <c r="G15" s="46"/>
      <c r="H15" s="10"/>
      <c r="L15" s="141" t="e">
        <f>#REF!+#REF!+#REF!+#REF!+#REF!+#REF!</f>
        <v>#REF!</v>
      </c>
    </row>
    <row r="16" ht="21" spans="2:8">
      <c r="B16" s="5"/>
      <c r="C16" s="47" t="s">
        <v>399</v>
      </c>
      <c r="D16" s="48" t="s">
        <v>393</v>
      </c>
      <c r="E16" s="49"/>
      <c r="F16" s="50">
        <f>+LK.43!F45+LK.44!F47+LK.45!F47+LK.46!F47</f>
        <v>19130200</v>
      </c>
      <c r="G16" s="41"/>
      <c r="H16" s="10"/>
    </row>
    <row r="17" ht="21" spans="2:8">
      <c r="B17" s="5"/>
      <c r="C17" s="51"/>
      <c r="D17" s="52" t="s">
        <v>400</v>
      </c>
      <c r="E17" s="53"/>
      <c r="F17" s="54"/>
      <c r="G17" s="55"/>
      <c r="H17" s="10"/>
    </row>
    <row r="18" ht="21" spans="2:8">
      <c r="B18" s="5"/>
      <c r="C18" s="47" t="s">
        <v>425</v>
      </c>
      <c r="D18" s="48" t="s">
        <v>407</v>
      </c>
      <c r="E18" s="49"/>
      <c r="F18" s="50">
        <f>+LK.47!F47+LK.48!F49+LK.49!F49+LK.50!F49</f>
        <v>22675802</v>
      </c>
      <c r="G18" s="41"/>
      <c r="H18" s="10"/>
    </row>
    <row r="19" ht="21" spans="2:8">
      <c r="B19" s="5"/>
      <c r="C19" s="51"/>
      <c r="D19" s="52" t="s">
        <v>426</v>
      </c>
      <c r="E19" s="53"/>
      <c r="F19" s="54"/>
      <c r="G19" s="56"/>
      <c r="H19" s="10"/>
    </row>
    <row r="20" ht="21" spans="2:12">
      <c r="B20" s="5"/>
      <c r="C20" s="39" t="s">
        <v>444</v>
      </c>
      <c r="D20" s="57" t="s">
        <v>434</v>
      </c>
      <c r="E20" s="49"/>
      <c r="F20" s="50">
        <f>+LK.51!F49+LK.52!F33+LK.53!F33</f>
        <v>3266500</v>
      </c>
      <c r="G20" s="58"/>
      <c r="H20" s="10"/>
      <c r="L20" s="1">
        <f>318500000+8000000</f>
        <v>326500000</v>
      </c>
    </row>
    <row r="21" ht="21" spans="2:12">
      <c r="B21" s="5"/>
      <c r="C21" s="51"/>
      <c r="D21" s="59" t="s">
        <v>445</v>
      </c>
      <c r="E21" s="53"/>
      <c r="F21" s="54"/>
      <c r="G21" s="60"/>
      <c r="H21" s="10"/>
      <c r="L21" s="87">
        <v>9433732.75</v>
      </c>
    </row>
    <row r="22" ht="5.4" customHeight="1" spans="2:8">
      <c r="B22" s="5"/>
      <c r="C22" s="61"/>
      <c r="D22" s="62"/>
      <c r="E22" s="62"/>
      <c r="F22" s="63"/>
      <c r="G22" s="64"/>
      <c r="H22" s="10"/>
    </row>
    <row r="23" ht="22.5" spans="2:8">
      <c r="B23" s="5"/>
      <c r="C23" s="65"/>
      <c r="D23" s="66"/>
      <c r="E23" s="67" t="s">
        <v>18</v>
      </c>
      <c r="F23" s="68">
        <f>SUM(F12:F21)</f>
        <v>381323338.75</v>
      </c>
      <c r="G23" s="69">
        <f>G4-F23</f>
        <v>371807254.305</v>
      </c>
      <c r="H23" s="10"/>
    </row>
    <row r="24" ht="5.4" customHeight="1" spans="2:8">
      <c r="B24" s="5"/>
      <c r="C24" s="70"/>
      <c r="D24" s="71"/>
      <c r="E24" s="72"/>
      <c r="F24" s="73"/>
      <c r="G24" s="74"/>
      <c r="H24" s="10"/>
    </row>
    <row r="25" ht="22.5" spans="2:12">
      <c r="B25" s="5"/>
      <c r="C25" s="75"/>
      <c r="D25" s="28" t="s">
        <v>132</v>
      </c>
      <c r="E25" s="76"/>
      <c r="F25" s="77">
        <v>0</v>
      </c>
      <c r="G25" s="78"/>
      <c r="H25" s="10"/>
      <c r="L25" s="1">
        <f>282+11</f>
        <v>293</v>
      </c>
    </row>
    <row r="26" ht="6" customHeight="1" spans="2:8">
      <c r="B26" s="5"/>
      <c r="C26" s="75"/>
      <c r="D26" s="28"/>
      <c r="E26" s="76"/>
      <c r="F26" s="77"/>
      <c r="G26" s="78"/>
      <c r="H26" s="10"/>
    </row>
    <row r="27" ht="21" spans="2:12">
      <c r="B27" s="5"/>
      <c r="C27" s="79" t="s">
        <v>20</v>
      </c>
      <c r="D27" s="80" t="s">
        <v>133</v>
      </c>
      <c r="E27" s="81"/>
      <c r="F27" s="82" t="s">
        <v>134</v>
      </c>
      <c r="G27" s="83" t="s">
        <v>135</v>
      </c>
      <c r="H27" s="10"/>
      <c r="L27" s="141">
        <v>13550567.25</v>
      </c>
    </row>
    <row r="28" ht="21" spans="2:12">
      <c r="B28" s="5"/>
      <c r="C28" s="79"/>
      <c r="D28" s="84" t="s">
        <v>416</v>
      </c>
      <c r="E28" s="85"/>
      <c r="F28" s="86">
        <v>0</v>
      </c>
      <c r="G28" s="87">
        <v>0</v>
      </c>
      <c r="H28" s="10"/>
      <c r="L28" s="1">
        <v>5837917.25</v>
      </c>
    </row>
    <row r="29" ht="19.8" customHeight="1" spans="2:8">
      <c r="B29" s="5"/>
      <c r="C29" s="88"/>
      <c r="D29" s="89"/>
      <c r="E29" s="90"/>
      <c r="F29" s="87"/>
      <c r="G29" s="87"/>
      <c r="H29" s="10"/>
    </row>
    <row r="30" ht="21" spans="2:12">
      <c r="B30" s="5"/>
      <c r="C30" s="88"/>
      <c r="D30" s="91"/>
      <c r="E30" s="92"/>
      <c r="F30" s="87"/>
      <c r="G30" s="87"/>
      <c r="H30" s="10"/>
      <c r="L30" s="142">
        <v>100800</v>
      </c>
    </row>
    <row r="31" ht="7.8" customHeight="1" spans="2:12">
      <c r="B31" s="5"/>
      <c r="C31" s="93"/>
      <c r="D31" s="94"/>
      <c r="E31" s="95"/>
      <c r="F31" s="96"/>
      <c r="G31" s="97"/>
      <c r="H31" s="10"/>
      <c r="L31" s="142"/>
    </row>
    <row r="32" ht="19.2" customHeight="1" spans="2:12">
      <c r="B32" s="5"/>
      <c r="C32" s="79" t="s">
        <v>20</v>
      </c>
      <c r="D32" s="98" t="s">
        <v>141</v>
      </c>
      <c r="E32" s="81"/>
      <c r="F32" s="82"/>
      <c r="G32" s="99"/>
      <c r="H32" s="10"/>
      <c r="L32" s="142">
        <v>14509106.75</v>
      </c>
    </row>
    <row r="33" ht="22.5" spans="2:12">
      <c r="B33" s="5"/>
      <c r="C33" s="93">
        <v>45366</v>
      </c>
      <c r="D33" s="100" t="s">
        <v>446</v>
      </c>
      <c r="E33" s="101"/>
      <c r="F33" s="102">
        <v>700000</v>
      </c>
      <c r="G33" s="103"/>
      <c r="H33" s="10"/>
      <c r="L33" s="142">
        <v>14509106.75</v>
      </c>
    </row>
    <row r="34" ht="22.5" spans="2:12">
      <c r="B34" s="5"/>
      <c r="C34" s="104"/>
      <c r="D34" s="105"/>
      <c r="E34" s="106" t="s">
        <v>25</v>
      </c>
      <c r="F34" s="107">
        <f>F33-SUM(F28:F30)</f>
        <v>700000</v>
      </c>
      <c r="G34" s="108"/>
      <c r="H34" s="10"/>
      <c r="L34" s="141">
        <f>F30+G30+3866346.75</f>
        <v>3866346.75</v>
      </c>
    </row>
    <row r="35" ht="10.2" customHeight="1" spans="2:8">
      <c r="B35" s="5"/>
      <c r="C35" s="109"/>
      <c r="D35" s="66"/>
      <c r="E35" s="66"/>
      <c r="F35" s="66"/>
      <c r="G35" s="110"/>
      <c r="H35" s="10"/>
    </row>
    <row r="36" ht="21.75" spans="2:12">
      <c r="B36" s="5"/>
      <c r="C36" s="111" t="s">
        <v>26</v>
      </c>
      <c r="D36" s="112"/>
      <c r="E36" s="112"/>
      <c r="F36" s="113">
        <f>F23+F33</f>
        <v>382023338.75</v>
      </c>
      <c r="G36" s="114">
        <f>G4-F36</f>
        <v>371107254.305</v>
      </c>
      <c r="H36" s="10"/>
      <c r="L36" s="143">
        <v>3064367.25</v>
      </c>
    </row>
    <row r="37" ht="21" spans="2:12">
      <c r="B37" s="5"/>
      <c r="C37" s="115" t="s">
        <v>27</v>
      </c>
      <c r="D37" s="116"/>
      <c r="E37" s="34"/>
      <c r="F37" s="117"/>
      <c r="G37" s="56"/>
      <c r="H37" s="10"/>
      <c r="L37" s="1">
        <f>5324450+3191882.75+6419300</f>
        <v>14935632.75</v>
      </c>
    </row>
    <row r="38" ht="22.5" spans="2:12">
      <c r="B38" s="5"/>
      <c r="C38" s="118" t="s">
        <v>28</v>
      </c>
      <c r="D38" s="119" t="s">
        <v>1</v>
      </c>
      <c r="E38" s="120">
        <f>F34</f>
        <v>700000</v>
      </c>
      <c r="F38" s="117"/>
      <c r="G38" s="56"/>
      <c r="H38" s="10"/>
      <c r="L38" s="1">
        <v>11659317.25</v>
      </c>
    </row>
    <row r="39" ht="21" spans="2:8">
      <c r="B39" s="5"/>
      <c r="C39" s="118" t="s">
        <v>29</v>
      </c>
      <c r="D39" s="119" t="s">
        <v>1</v>
      </c>
      <c r="E39" s="121" t="s">
        <v>30</v>
      </c>
      <c r="F39" s="117"/>
      <c r="G39" s="56"/>
      <c r="H39" s="10"/>
    </row>
    <row r="40" ht="21" spans="2:8">
      <c r="B40" s="5"/>
      <c r="C40" s="122" t="s">
        <v>31</v>
      </c>
      <c r="D40" s="123" t="s">
        <v>1</v>
      </c>
      <c r="E40" s="124" t="s">
        <v>32</v>
      </c>
      <c r="F40" s="125" t="s">
        <v>50</v>
      </c>
      <c r="G40" s="126"/>
      <c r="H40" s="10"/>
    </row>
    <row r="41" ht="6" customHeight="1" spans="2:8">
      <c r="B41" s="127"/>
      <c r="C41" s="128"/>
      <c r="D41" s="128"/>
      <c r="E41" s="128"/>
      <c r="F41" s="128"/>
      <c r="G41" s="128"/>
      <c r="H41" s="129"/>
    </row>
    <row r="42" ht="19.5" spans="3:7">
      <c r="C42" s="130"/>
      <c r="D42" s="130"/>
      <c r="E42" s="130"/>
      <c r="F42" s="130"/>
      <c r="G42" s="130"/>
    </row>
    <row r="43" ht="19.5" spans="3:7">
      <c r="C43" s="131" t="s">
        <v>34</v>
      </c>
      <c r="D43" s="132"/>
      <c r="E43" s="133"/>
      <c r="F43" s="134"/>
      <c r="G43" s="130"/>
    </row>
    <row r="44" ht="19.5" spans="3:7">
      <c r="C44" s="131"/>
      <c r="D44" s="132"/>
      <c r="E44" s="133"/>
      <c r="F44" s="135" t="s">
        <v>35</v>
      </c>
      <c r="G44" s="136">
        <v>15000000</v>
      </c>
    </row>
    <row r="45" ht="19.5" spans="3:7">
      <c r="C45" s="131" t="s">
        <v>36</v>
      </c>
      <c r="D45" s="132"/>
      <c r="E45" s="133">
        <v>75313059305.5</v>
      </c>
      <c r="F45" s="137" t="s">
        <v>37</v>
      </c>
      <c r="G45" s="138"/>
    </row>
    <row r="46" ht="19.5" spans="3:7">
      <c r="C46" s="139">
        <v>0.01</v>
      </c>
      <c r="D46" s="132"/>
      <c r="E46" s="133">
        <f>E45*C46</f>
        <v>753130593.055</v>
      </c>
      <c r="F46" s="137" t="s">
        <v>38</v>
      </c>
      <c r="G46" s="140"/>
    </row>
    <row r="47" ht="19.5" spans="3:7">
      <c r="C47" s="130"/>
      <c r="D47" s="130"/>
      <c r="E47" s="130"/>
      <c r="F47" s="130"/>
      <c r="G47" s="130"/>
    </row>
    <row r="48" ht="19.5" spans="3:7">
      <c r="C48" s="130"/>
      <c r="D48" s="130"/>
      <c r="E48" s="130"/>
      <c r="F48" s="130"/>
      <c r="G48" s="130"/>
    </row>
  </sheetData>
  <mergeCells count="21">
    <mergeCell ref="C9:E9"/>
    <mergeCell ref="D10:E10"/>
    <mergeCell ref="D11:E11"/>
    <mergeCell ref="D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0:E30"/>
    <mergeCell ref="D32:E32"/>
    <mergeCell ref="D33:E33"/>
    <mergeCell ref="C36:E36"/>
    <mergeCell ref="F40:G40"/>
  </mergeCells>
  <printOptions horizontalCentered="1"/>
  <pageMargins left="0.0393700787401575" right="0.0393700787401575" top="0.0393700787401575" bottom="0.0393700787401575" header="0.0393700787401575" footer="0.0393700787401575"/>
  <pageSetup paperSize="9" scale="65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6"/>
  <sheetViews>
    <sheetView zoomScale="70" zoomScaleNormal="70" workbookViewId="0">
      <selection activeCell="E29" sqref="E2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60</v>
      </c>
      <c r="F4" s="215" t="s">
        <v>3</v>
      </c>
      <c r="G4" s="216"/>
      <c r="H4" s="9">
        <f>+E44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G34</f>
        <v>25567564</v>
      </c>
      <c r="I5" s="10"/>
    </row>
    <row r="6" ht="22.5" spans="2:9">
      <c r="B6" s="5"/>
      <c r="C6" s="11" t="s">
        <v>7</v>
      </c>
      <c r="D6" s="12" t="s">
        <v>1</v>
      </c>
      <c r="E6" s="15" t="s">
        <v>61</v>
      </c>
      <c r="F6" s="217" t="s">
        <v>9</v>
      </c>
      <c r="G6" s="218"/>
      <c r="H6" s="14">
        <f>H4-H5</f>
        <v>727563029.055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0.966051619419299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99">
        <f>+LK.02!G22</f>
        <v>2244000</v>
      </c>
      <c r="H16" s="244"/>
      <c r="I16" s="10"/>
    </row>
    <row r="17" ht="19.5" spans="2:9">
      <c r="B17" s="5"/>
      <c r="C17" s="275"/>
      <c r="D17" s="276"/>
      <c r="E17" s="278" t="s">
        <v>53</v>
      </c>
      <c r="F17" s="130"/>
      <c r="G17" s="300">
        <f>+LK.03!G22</f>
        <v>7381394</v>
      </c>
      <c r="H17" s="244"/>
      <c r="I17" s="10"/>
    </row>
    <row r="18" ht="19.5" spans="2:9">
      <c r="B18" s="5"/>
      <c r="C18" s="275"/>
      <c r="D18" s="276"/>
      <c r="E18" s="278" t="s">
        <v>58</v>
      </c>
      <c r="F18" s="130"/>
      <c r="G18" s="300">
        <f>+LK.04!G23</f>
        <v>3592000</v>
      </c>
      <c r="H18" s="244"/>
      <c r="I18" s="10"/>
    </row>
    <row r="19" ht="19.5" spans="2:9">
      <c r="B19" s="5"/>
      <c r="C19" s="275"/>
      <c r="D19" s="276"/>
      <c r="E19" s="278" t="s">
        <v>62</v>
      </c>
      <c r="F19" s="130"/>
      <c r="G19" s="300">
        <f>+LK.05!G24</f>
        <v>5997670</v>
      </c>
      <c r="H19" s="244"/>
      <c r="I19" s="10"/>
    </row>
    <row r="20" ht="19.5" spans="2:9">
      <c r="B20" s="5"/>
      <c r="C20" s="275"/>
      <c r="D20" s="276"/>
      <c r="E20" s="278"/>
      <c r="F20" s="130"/>
      <c r="H20" s="244"/>
      <c r="I20" s="10"/>
    </row>
    <row r="21" ht="19.5" spans="2:9">
      <c r="B21" s="5"/>
      <c r="C21" s="277"/>
      <c r="D21" s="130"/>
      <c r="E21" s="282" t="s">
        <v>18</v>
      </c>
      <c r="F21" s="283"/>
      <c r="G21" s="284">
        <f>SUM(G15:G19)</f>
        <v>22845564</v>
      </c>
      <c r="H21" s="285">
        <f>H10-G21</f>
        <v>730285029.055</v>
      </c>
      <c r="I21" s="10"/>
    </row>
    <row r="22" ht="19.5" spans="2:9">
      <c r="B22" s="5"/>
      <c r="C22" s="243"/>
      <c r="D22" s="130"/>
      <c r="E22" s="130"/>
      <c r="F22" s="130"/>
      <c r="G22" s="130"/>
      <c r="H22" s="244"/>
      <c r="I22" s="10"/>
    </row>
    <row r="23" ht="19.5" spans="2:9">
      <c r="B23" s="5"/>
      <c r="C23" s="275" t="s">
        <v>19</v>
      </c>
      <c r="D23" s="286"/>
      <c r="E23" s="286"/>
      <c r="F23" s="130"/>
      <c r="G23" s="130"/>
      <c r="H23" s="244"/>
      <c r="I23" s="10"/>
    </row>
    <row r="24" ht="19.5" spans="2:9">
      <c r="B24" s="5"/>
      <c r="C24" s="275" t="s">
        <v>20</v>
      </c>
      <c r="D24" s="286" t="s">
        <v>21</v>
      </c>
      <c r="E24" s="286" t="s">
        <v>22</v>
      </c>
      <c r="F24" s="130"/>
      <c r="G24" s="130"/>
      <c r="H24" s="244"/>
      <c r="I24" s="10"/>
    </row>
    <row r="25" ht="20.25" spans="2:9">
      <c r="B25" s="5"/>
      <c r="C25" s="287">
        <v>44712</v>
      </c>
      <c r="D25" s="276" t="s">
        <v>23</v>
      </c>
      <c r="E25" s="283" t="s">
        <v>60</v>
      </c>
      <c r="F25" s="283"/>
      <c r="G25" s="288">
        <v>2722000</v>
      </c>
      <c r="H25" s="244"/>
      <c r="I25" s="10"/>
    </row>
    <row r="26" ht="21" spans="2:9">
      <c r="B26" s="5"/>
      <c r="C26" s="287">
        <v>44673</v>
      </c>
      <c r="D26" s="276"/>
      <c r="E26" s="302" t="s">
        <v>45</v>
      </c>
      <c r="F26" s="290"/>
      <c r="G26" s="291">
        <v>0</v>
      </c>
      <c r="H26" s="244"/>
      <c r="I26" s="10"/>
    </row>
    <row r="27" ht="20.25" spans="2:9">
      <c r="B27" s="5"/>
      <c r="C27" s="287"/>
      <c r="D27" s="276"/>
      <c r="E27" s="302" t="s">
        <v>54</v>
      </c>
      <c r="F27" s="292"/>
      <c r="G27" s="291">
        <v>0</v>
      </c>
      <c r="H27" s="244"/>
      <c r="I27" s="10"/>
    </row>
    <row r="28" ht="20.25" spans="2:9">
      <c r="B28" s="5"/>
      <c r="C28" s="287"/>
      <c r="D28" s="276"/>
      <c r="E28" s="303" t="s">
        <v>63</v>
      </c>
      <c r="F28" s="292"/>
      <c r="G28" s="293">
        <v>2722000</v>
      </c>
      <c r="H28" s="244"/>
      <c r="I28" s="10"/>
    </row>
    <row r="29" ht="20.25" spans="2:9">
      <c r="B29" s="5"/>
      <c r="C29" s="287"/>
      <c r="D29" s="276"/>
      <c r="E29" s="304" t="s">
        <v>48</v>
      </c>
      <c r="F29" s="292"/>
      <c r="G29" s="293"/>
      <c r="H29" s="244"/>
      <c r="I29" s="10"/>
    </row>
    <row r="30" ht="20.25" spans="2:9">
      <c r="B30" s="5"/>
      <c r="C30" s="287"/>
      <c r="D30" s="276"/>
      <c r="E30" s="304" t="s">
        <v>49</v>
      </c>
      <c r="F30" s="292"/>
      <c r="G30" s="293"/>
      <c r="H30" s="244"/>
      <c r="I30" s="10"/>
    </row>
    <row r="31" ht="20.25" spans="2:9">
      <c r="B31" s="5"/>
      <c r="C31" s="243"/>
      <c r="D31" s="130"/>
      <c r="E31" s="130"/>
      <c r="F31" s="130"/>
      <c r="G31" s="295">
        <v>0</v>
      </c>
      <c r="H31" s="244"/>
      <c r="I31" s="10"/>
    </row>
    <row r="32" ht="20.25" spans="2:9">
      <c r="B32" s="5"/>
      <c r="C32" s="243"/>
      <c r="D32" s="130"/>
      <c r="E32" s="296" t="s">
        <v>25</v>
      </c>
      <c r="G32" s="305">
        <f>G25-SUM(G26:G31)</f>
        <v>0</v>
      </c>
      <c r="H32" s="244"/>
      <c r="I32" s="10"/>
    </row>
    <row r="33" ht="20.25" spans="2:9">
      <c r="B33" s="5"/>
      <c r="C33" s="109"/>
      <c r="D33" s="66"/>
      <c r="E33" s="66"/>
      <c r="F33" s="66"/>
      <c r="G33" s="66"/>
      <c r="H33" s="110"/>
      <c r="I33" s="10"/>
    </row>
    <row r="34" ht="20.25" spans="2:9">
      <c r="B34" s="5"/>
      <c r="C34" s="258" t="s">
        <v>26</v>
      </c>
      <c r="D34" s="259"/>
      <c r="E34" s="259"/>
      <c r="F34" s="71"/>
      <c r="G34" s="260">
        <f>G21+G25</f>
        <v>25567564</v>
      </c>
      <c r="H34" s="261">
        <f>H10-G34</f>
        <v>727563029.055</v>
      </c>
      <c r="I34" s="10"/>
    </row>
    <row r="35" ht="19.5" spans="2:9">
      <c r="B35" s="5"/>
      <c r="C35" s="262" t="s">
        <v>27</v>
      </c>
      <c r="D35" s="263"/>
      <c r="E35" s="264"/>
      <c r="F35" s="130"/>
      <c r="G35" s="130"/>
      <c r="H35" s="244"/>
      <c r="I35" s="10"/>
    </row>
    <row r="36" ht="19.5" spans="2:9">
      <c r="B36" s="5"/>
      <c r="C36" s="265" t="s">
        <v>28</v>
      </c>
      <c r="D36" s="266" t="s">
        <v>1</v>
      </c>
      <c r="E36" s="298">
        <f>G32</f>
        <v>0</v>
      </c>
      <c r="F36" s="130"/>
      <c r="G36" s="130"/>
      <c r="H36" s="244"/>
      <c r="I36" s="10"/>
    </row>
    <row r="37" ht="19.5" spans="2:9">
      <c r="B37" s="5"/>
      <c r="C37" s="265" t="s">
        <v>29</v>
      </c>
      <c r="D37" s="266" t="s">
        <v>1</v>
      </c>
      <c r="E37" s="267" t="s">
        <v>30</v>
      </c>
      <c r="F37" s="130"/>
      <c r="G37" s="130"/>
      <c r="H37" s="244"/>
      <c r="I37" s="10"/>
    </row>
    <row r="38" ht="19.5" spans="2:9">
      <c r="B38" s="5"/>
      <c r="C38" s="268" t="s">
        <v>31</v>
      </c>
      <c r="D38" s="269" t="s">
        <v>1</v>
      </c>
      <c r="E38" s="270" t="s">
        <v>32</v>
      </c>
      <c r="F38" s="128"/>
      <c r="G38" s="271" t="s">
        <v>50</v>
      </c>
      <c r="H38" s="272"/>
      <c r="I38" s="10"/>
    </row>
    <row r="39" ht="6" customHeight="1" spans="2:9">
      <c r="B39" s="127"/>
      <c r="C39" s="128"/>
      <c r="D39" s="128"/>
      <c r="E39" s="128"/>
      <c r="F39" s="128"/>
      <c r="G39" s="128"/>
      <c r="H39" s="128"/>
      <c r="I39" s="129"/>
    </row>
    <row r="40" ht="19.5" spans="3:8">
      <c r="C40" s="130"/>
      <c r="D40" s="130"/>
      <c r="E40" s="130"/>
      <c r="F40" s="130"/>
      <c r="G40" s="130"/>
      <c r="H40" s="130"/>
    </row>
    <row r="41" ht="19.5" spans="3:8">
      <c r="C41" s="131" t="s">
        <v>34</v>
      </c>
      <c r="D41" s="132"/>
      <c r="E41" s="133"/>
      <c r="F41" s="134"/>
      <c r="G41" s="134"/>
      <c r="H41" s="130"/>
    </row>
    <row r="42" ht="19.5" spans="3:8">
      <c r="C42" s="131"/>
      <c r="D42" s="132"/>
      <c r="E42" s="133"/>
      <c r="F42" s="135" t="s">
        <v>35</v>
      </c>
      <c r="G42" s="136">
        <v>15000000</v>
      </c>
      <c r="H42" s="130"/>
    </row>
    <row r="43" ht="19.5" spans="3:8">
      <c r="C43" s="131" t="s">
        <v>36</v>
      </c>
      <c r="D43" s="132"/>
      <c r="E43" s="133">
        <v>75313059305.5</v>
      </c>
      <c r="F43" s="137" t="s">
        <v>37</v>
      </c>
      <c r="G43" s="138"/>
      <c r="H43" s="130"/>
    </row>
    <row r="44" ht="19.5" spans="3:8">
      <c r="C44" s="139">
        <v>0.01</v>
      </c>
      <c r="D44" s="132"/>
      <c r="E44" s="133">
        <f>E43*C44</f>
        <v>753130593.055</v>
      </c>
      <c r="F44" s="137" t="s">
        <v>38</v>
      </c>
      <c r="G44" s="140"/>
      <c r="H44" s="130"/>
    </row>
    <row r="45" ht="19.5" spans="3:8">
      <c r="C45" s="130"/>
      <c r="D45" s="130"/>
      <c r="E45" s="130"/>
      <c r="F45" s="130"/>
      <c r="G45" s="130"/>
      <c r="H45" s="130"/>
    </row>
    <row r="46" ht="19.5" spans="3:8">
      <c r="C46" s="130"/>
      <c r="D46" s="130"/>
      <c r="E46" s="130"/>
      <c r="F46" s="130"/>
      <c r="G46" s="130"/>
      <c r="H46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3:E23"/>
    <mergeCell ref="C34:E34"/>
    <mergeCell ref="G38:H38"/>
  </mergeCell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8"/>
  <sheetViews>
    <sheetView zoomScale="70" zoomScaleNormal="70" workbookViewId="0">
      <selection activeCell="O32" sqref="O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4" width="8.88571428571429" style="1"/>
    <col min="15" max="15" width="11.2190476190476" style="1" customWidth="1"/>
    <col min="16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64</v>
      </c>
      <c r="F4" s="215" t="s">
        <v>3</v>
      </c>
      <c r="G4" s="216"/>
      <c r="H4" s="9">
        <f>+E46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G36</f>
        <v>37078951</v>
      </c>
      <c r="I5" s="10"/>
    </row>
    <row r="6" ht="22.5" spans="2:9">
      <c r="B6" s="5"/>
      <c r="C6" s="11" t="s">
        <v>7</v>
      </c>
      <c r="D6" s="12" t="s">
        <v>1</v>
      </c>
      <c r="E6" s="15" t="s">
        <v>65</v>
      </c>
      <c r="F6" s="217" t="s">
        <v>9</v>
      </c>
      <c r="G6" s="218"/>
      <c r="H6" s="14">
        <f>H4-H5</f>
        <v>716051642.055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0.950766903719058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99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99">
        <f>+LK.02!G22</f>
        <v>2244000</v>
      </c>
      <c r="H16" s="244"/>
      <c r="I16" s="10"/>
    </row>
    <row r="17" ht="19.5" spans="2:9">
      <c r="B17" s="5"/>
      <c r="C17" s="275"/>
      <c r="D17" s="276"/>
      <c r="E17" s="278" t="s">
        <v>53</v>
      </c>
      <c r="F17" s="130"/>
      <c r="G17" s="300">
        <f>+LK.03!G22</f>
        <v>7381394</v>
      </c>
      <c r="H17" s="244"/>
      <c r="I17" s="10"/>
    </row>
    <row r="18" ht="19.5" spans="2:9">
      <c r="B18" s="5"/>
      <c r="C18" s="275"/>
      <c r="D18" s="276"/>
      <c r="E18" s="278" t="s">
        <v>58</v>
      </c>
      <c r="F18" s="130"/>
      <c r="G18" s="300">
        <f>+LK.04!G23</f>
        <v>3592000</v>
      </c>
      <c r="H18" s="244"/>
      <c r="I18" s="10"/>
    </row>
    <row r="19" ht="19.5" spans="2:9">
      <c r="B19" s="5"/>
      <c r="C19" s="275"/>
      <c r="D19" s="276"/>
      <c r="E19" s="278" t="s">
        <v>62</v>
      </c>
      <c r="F19" s="130"/>
      <c r="G19" s="300">
        <f>+LK.05!G24</f>
        <v>5997670</v>
      </c>
      <c r="H19" s="244"/>
      <c r="I19" s="10"/>
    </row>
    <row r="20" ht="19.5" spans="2:9">
      <c r="B20" s="5"/>
      <c r="C20" s="275"/>
      <c r="D20" s="276"/>
      <c r="E20" s="278" t="s">
        <v>66</v>
      </c>
      <c r="F20" s="130"/>
      <c r="G20" s="300">
        <f>+LK.06!G25</f>
        <v>2722000</v>
      </c>
      <c r="H20" s="244"/>
      <c r="I20" s="10"/>
    </row>
    <row r="21" ht="19.5" spans="2:9">
      <c r="B21" s="5"/>
      <c r="C21" s="275"/>
      <c r="D21" s="276"/>
      <c r="E21" s="278"/>
      <c r="F21" s="130"/>
      <c r="H21" s="244"/>
      <c r="I21" s="10"/>
    </row>
    <row r="22" ht="19.5" spans="2:9">
      <c r="B22" s="5"/>
      <c r="C22" s="277"/>
      <c r="D22" s="130"/>
      <c r="E22" s="282" t="s">
        <v>18</v>
      </c>
      <c r="F22" s="283"/>
      <c r="G22" s="284">
        <f>SUM(G15:G20)</f>
        <v>25567564</v>
      </c>
      <c r="H22" s="285">
        <f>H10-G22</f>
        <v>727563029.055</v>
      </c>
      <c r="I22" s="10"/>
    </row>
    <row r="23" ht="19.5" spans="2:9">
      <c r="B23" s="5"/>
      <c r="C23" s="243"/>
      <c r="D23" s="130"/>
      <c r="E23" s="130"/>
      <c r="F23" s="130"/>
      <c r="G23" s="130"/>
      <c r="H23" s="244"/>
      <c r="I23" s="10"/>
    </row>
    <row r="24" ht="19.5" spans="2:9">
      <c r="B24" s="5"/>
      <c r="C24" s="275" t="s">
        <v>19</v>
      </c>
      <c r="D24" s="286"/>
      <c r="E24" s="286"/>
      <c r="F24" s="130"/>
      <c r="G24" s="130"/>
      <c r="H24" s="244"/>
      <c r="I24" s="10"/>
    </row>
    <row r="25" ht="19.5" spans="2:9">
      <c r="B25" s="5"/>
      <c r="C25" s="275" t="s">
        <v>20</v>
      </c>
      <c r="D25" s="286" t="s">
        <v>21</v>
      </c>
      <c r="E25" s="286" t="s">
        <v>22</v>
      </c>
      <c r="F25" s="130"/>
      <c r="G25" s="130"/>
      <c r="H25" s="244"/>
      <c r="I25" s="10"/>
    </row>
    <row r="26" ht="20.25" spans="2:9">
      <c r="B26" s="5"/>
      <c r="C26" s="287">
        <v>44712</v>
      </c>
      <c r="D26" s="276" t="s">
        <v>23</v>
      </c>
      <c r="E26" s="283" t="s">
        <v>64</v>
      </c>
      <c r="F26" s="283"/>
      <c r="G26" s="288">
        <v>11511387</v>
      </c>
      <c r="H26" s="244"/>
      <c r="I26" s="10"/>
    </row>
    <row r="27" ht="21" spans="2:9">
      <c r="B27" s="5"/>
      <c r="C27" s="287">
        <v>44673</v>
      </c>
      <c r="D27" s="276"/>
      <c r="E27" s="289" t="s">
        <v>45</v>
      </c>
      <c r="F27" s="290"/>
      <c r="G27" s="291">
        <v>0</v>
      </c>
      <c r="H27" s="244"/>
      <c r="I27" s="10"/>
    </row>
    <row r="28" ht="20.25" spans="2:9">
      <c r="B28" s="5"/>
      <c r="C28" s="287"/>
      <c r="D28" s="276"/>
      <c r="E28" s="289" t="s">
        <v>54</v>
      </c>
      <c r="F28" s="292"/>
      <c r="G28" s="291">
        <v>0</v>
      </c>
      <c r="H28" s="244"/>
      <c r="I28" s="10"/>
    </row>
    <row r="29" ht="20.25" spans="2:9">
      <c r="B29" s="5"/>
      <c r="C29" s="287"/>
      <c r="D29" s="276"/>
      <c r="E29" s="289" t="s">
        <v>67</v>
      </c>
      <c r="F29" s="292"/>
      <c r="G29" s="293">
        <v>306936</v>
      </c>
      <c r="H29" s="244"/>
      <c r="I29" s="10"/>
    </row>
    <row r="30" ht="20.25" spans="2:9">
      <c r="B30" s="5"/>
      <c r="C30" s="287"/>
      <c r="D30" s="276"/>
      <c r="E30" s="289" t="s">
        <v>68</v>
      </c>
      <c r="F30" s="292"/>
      <c r="G30" s="293">
        <v>10000000</v>
      </c>
      <c r="H30" s="244"/>
      <c r="I30" s="10"/>
    </row>
    <row r="31" ht="20.25" spans="2:9">
      <c r="B31" s="5"/>
      <c r="C31" s="287"/>
      <c r="D31" s="276"/>
      <c r="E31" s="294" t="s">
        <v>69</v>
      </c>
      <c r="F31" s="292"/>
      <c r="G31" s="293">
        <v>1304451</v>
      </c>
      <c r="H31" s="244"/>
      <c r="I31" s="10"/>
    </row>
    <row r="32" ht="20.25" spans="2:9">
      <c r="B32" s="5"/>
      <c r="C32" s="287"/>
      <c r="D32" s="276"/>
      <c r="E32" s="294" t="s">
        <v>70</v>
      </c>
      <c r="F32" s="292"/>
      <c r="G32" s="293"/>
      <c r="H32" s="244"/>
      <c r="I32" s="10"/>
    </row>
    <row r="33" ht="20.25" spans="2:9">
      <c r="B33" s="5"/>
      <c r="C33" s="243"/>
      <c r="D33" s="130"/>
      <c r="E33" s="130"/>
      <c r="F33" s="130"/>
      <c r="G33" s="295">
        <v>0</v>
      </c>
      <c r="H33" s="244"/>
      <c r="I33" s="10"/>
    </row>
    <row r="34" ht="20.25" spans="2:9">
      <c r="B34" s="5"/>
      <c r="C34" s="243"/>
      <c r="D34" s="130"/>
      <c r="E34" s="296" t="s">
        <v>25</v>
      </c>
      <c r="G34" s="301">
        <f>G26-SUM(G27:G33)</f>
        <v>-100000</v>
      </c>
      <c r="H34" s="244"/>
      <c r="I34" s="10"/>
    </row>
    <row r="35" ht="20.25" spans="2:9">
      <c r="B35" s="5"/>
      <c r="C35" s="109"/>
      <c r="D35" s="66"/>
      <c r="E35" s="66"/>
      <c r="F35" s="66"/>
      <c r="G35" s="66"/>
      <c r="H35" s="110"/>
      <c r="I35" s="10"/>
    </row>
    <row r="36" ht="20.25" spans="2:9">
      <c r="B36" s="5"/>
      <c r="C36" s="258" t="s">
        <v>26</v>
      </c>
      <c r="D36" s="259"/>
      <c r="E36" s="259"/>
      <c r="F36" s="71"/>
      <c r="G36" s="260">
        <f>G22+G26</f>
        <v>37078951</v>
      </c>
      <c r="H36" s="261">
        <f>H10-G36</f>
        <v>716051642.055</v>
      </c>
      <c r="I36" s="10"/>
    </row>
    <row r="37" ht="19.5" spans="2:9">
      <c r="B37" s="5"/>
      <c r="C37" s="262" t="s">
        <v>27</v>
      </c>
      <c r="D37" s="263"/>
      <c r="E37" s="264"/>
      <c r="F37" s="130"/>
      <c r="G37" s="130"/>
      <c r="H37" s="244"/>
      <c r="I37" s="10"/>
    </row>
    <row r="38" ht="19.5" spans="2:9">
      <c r="B38" s="5"/>
      <c r="C38" s="265" t="s">
        <v>28</v>
      </c>
      <c r="D38" s="266" t="s">
        <v>1</v>
      </c>
      <c r="E38" s="298">
        <f>G34</f>
        <v>-100000</v>
      </c>
      <c r="F38" s="130"/>
      <c r="G38" s="130"/>
      <c r="H38" s="244"/>
      <c r="I38" s="10"/>
    </row>
    <row r="39" ht="19.5" spans="2:9">
      <c r="B39" s="5"/>
      <c r="C39" s="265" t="s">
        <v>29</v>
      </c>
      <c r="D39" s="266" t="s">
        <v>1</v>
      </c>
      <c r="E39" s="267" t="s">
        <v>30</v>
      </c>
      <c r="F39" s="130"/>
      <c r="G39" s="130"/>
      <c r="H39" s="244"/>
      <c r="I39" s="10"/>
    </row>
    <row r="40" ht="19.5" spans="2:9">
      <c r="B40" s="5"/>
      <c r="C40" s="268" t="s">
        <v>31</v>
      </c>
      <c r="D40" s="269" t="s">
        <v>1</v>
      </c>
      <c r="E40" s="270" t="s">
        <v>32</v>
      </c>
      <c r="F40" s="128"/>
      <c r="G40" s="271" t="s">
        <v>50</v>
      </c>
      <c r="H40" s="272"/>
      <c r="I40" s="10"/>
    </row>
    <row r="41" ht="6" customHeight="1" spans="2:9">
      <c r="B41" s="127"/>
      <c r="C41" s="128"/>
      <c r="D41" s="128"/>
      <c r="E41" s="128"/>
      <c r="F41" s="128"/>
      <c r="G41" s="128"/>
      <c r="H41" s="128"/>
      <c r="I41" s="129"/>
    </row>
    <row r="42" ht="19.5" spans="3:8">
      <c r="C42" s="130"/>
      <c r="D42" s="130"/>
      <c r="E42" s="130"/>
      <c r="F42" s="130"/>
      <c r="G42" s="130"/>
      <c r="H42" s="130"/>
    </row>
    <row r="43" ht="19.5" spans="3:8">
      <c r="C43" s="131" t="s">
        <v>34</v>
      </c>
      <c r="D43" s="132"/>
      <c r="E43" s="133"/>
      <c r="F43" s="134"/>
      <c r="G43" s="134"/>
      <c r="H43" s="130"/>
    </row>
    <row r="44" ht="19.5" spans="3:8">
      <c r="C44" s="131"/>
      <c r="D44" s="132"/>
      <c r="E44" s="133"/>
      <c r="F44" s="135" t="s">
        <v>35</v>
      </c>
      <c r="G44" s="136">
        <v>15000000</v>
      </c>
      <c r="H44" s="130"/>
    </row>
    <row r="45" ht="19.5" spans="3:8">
      <c r="C45" s="131" t="s">
        <v>36</v>
      </c>
      <c r="D45" s="132"/>
      <c r="E45" s="133">
        <v>75313059305.5</v>
      </c>
      <c r="F45" s="137" t="s">
        <v>37</v>
      </c>
      <c r="G45" s="138"/>
      <c r="H45" s="130"/>
    </row>
    <row r="46" ht="19.5" spans="3:8">
      <c r="C46" s="139">
        <v>0.01</v>
      </c>
      <c r="D46" s="132"/>
      <c r="E46" s="133">
        <f>E45*C46</f>
        <v>753130593.055</v>
      </c>
      <c r="F46" s="137" t="s">
        <v>38</v>
      </c>
      <c r="G46" s="140"/>
      <c r="H46" s="130"/>
    </row>
    <row r="47" ht="19.5" spans="3:8">
      <c r="C47" s="130"/>
      <c r="D47" s="130"/>
      <c r="E47" s="130"/>
      <c r="F47" s="130"/>
      <c r="G47" s="130"/>
      <c r="H47" s="130"/>
    </row>
    <row r="48" ht="19.5" spans="3:8">
      <c r="C48" s="130"/>
      <c r="D48" s="130"/>
      <c r="E48" s="130"/>
      <c r="F48" s="130"/>
      <c r="G48" s="130"/>
      <c r="H48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4:E24"/>
    <mergeCell ref="C36:E36"/>
    <mergeCell ref="G40:H40"/>
  </mergeCell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49"/>
  <sheetViews>
    <sheetView zoomScale="85" zoomScaleNormal="85" workbookViewId="0">
      <selection activeCell="F27" sqref="F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8" width="23.1047619047619" style="1" customWidth="1"/>
    <col min="9" max="9" width="1" style="1" customWidth="1"/>
    <col min="10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71</v>
      </c>
      <c r="F4" s="215" t="s">
        <v>3</v>
      </c>
      <c r="G4" s="216"/>
      <c r="H4" s="9">
        <f>+E47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G37</f>
        <v>49810445.92</v>
      </c>
      <c r="I5" s="10"/>
    </row>
    <row r="6" ht="22.5" spans="2:9">
      <c r="B6" s="5"/>
      <c r="C6" s="11" t="s">
        <v>7</v>
      </c>
      <c r="D6" s="12" t="s">
        <v>1</v>
      </c>
      <c r="E6" s="15" t="s">
        <v>72</v>
      </c>
      <c r="F6" s="217" t="s">
        <v>9</v>
      </c>
      <c r="G6" s="218"/>
      <c r="H6" s="14">
        <f>H4-H5</f>
        <v>703320147.135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0.933862139741331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73"/>
      <c r="D10" s="263"/>
      <c r="E10" s="263"/>
      <c r="F10" s="263"/>
      <c r="G10" s="263"/>
      <c r="H10" s="274">
        <f>H4</f>
        <v>753130593.055</v>
      </c>
      <c r="I10" s="10"/>
    </row>
    <row r="11" ht="19.5" spans="2:9">
      <c r="B11" s="5"/>
      <c r="C11" s="275" t="s">
        <v>15</v>
      </c>
      <c r="D11" s="276"/>
      <c r="E11" s="276"/>
      <c r="F11" s="130"/>
      <c r="G11" s="130"/>
      <c r="H11" s="244"/>
      <c r="I11" s="10"/>
    </row>
    <row r="12" ht="19.5" spans="2:9">
      <c r="B12" s="5"/>
      <c r="C12" s="277">
        <v>1</v>
      </c>
      <c r="D12" s="278" t="s">
        <v>16</v>
      </c>
      <c r="E12" s="278"/>
      <c r="F12" s="130"/>
      <c r="G12" s="279">
        <v>0</v>
      </c>
      <c r="H12" s="244"/>
      <c r="I12" s="10"/>
    </row>
    <row r="13" ht="19.5" spans="2:9">
      <c r="B13" s="5"/>
      <c r="C13" s="243"/>
      <c r="D13" s="278"/>
      <c r="E13" s="278"/>
      <c r="F13" s="130"/>
      <c r="G13" s="130"/>
      <c r="H13" s="244"/>
      <c r="I13" s="10"/>
    </row>
    <row r="14" ht="19.5" spans="2:9">
      <c r="B14" s="5"/>
      <c r="C14" s="275" t="s">
        <v>17</v>
      </c>
      <c r="D14" s="276"/>
      <c r="E14" s="276"/>
      <c r="F14" s="130"/>
      <c r="G14" s="130"/>
      <c r="H14" s="244"/>
      <c r="I14" s="10"/>
    </row>
    <row r="15" ht="19.5" spans="2:9">
      <c r="B15" s="5"/>
      <c r="C15" s="275"/>
      <c r="D15" s="276"/>
      <c r="E15" s="278" t="s">
        <v>41</v>
      </c>
      <c r="F15" s="130"/>
      <c r="G15" s="280">
        <f>+LK.01!G20</f>
        <v>3630500</v>
      </c>
      <c r="H15" s="244"/>
      <c r="I15" s="10"/>
    </row>
    <row r="16" ht="19.5" spans="2:9">
      <c r="B16" s="5"/>
      <c r="C16" s="275"/>
      <c r="D16" s="276"/>
      <c r="E16" s="278" t="s">
        <v>44</v>
      </c>
      <c r="F16" s="130"/>
      <c r="G16" s="280">
        <f>+LK.02!G22</f>
        <v>2244000</v>
      </c>
      <c r="H16" s="244"/>
      <c r="I16" s="10"/>
    </row>
    <row r="17" ht="19.5" spans="2:9">
      <c r="B17" s="5"/>
      <c r="C17" s="275"/>
      <c r="D17" s="276"/>
      <c r="E17" s="278" t="s">
        <v>53</v>
      </c>
      <c r="F17" s="130"/>
      <c r="G17" s="281">
        <f>+LK.03!G22</f>
        <v>7381394</v>
      </c>
      <c r="H17" s="244"/>
      <c r="I17" s="10"/>
    </row>
    <row r="18" ht="19.5" spans="2:9">
      <c r="B18" s="5"/>
      <c r="C18" s="275"/>
      <c r="D18" s="276"/>
      <c r="E18" s="278" t="s">
        <v>58</v>
      </c>
      <c r="F18" s="130"/>
      <c r="G18" s="281">
        <f>+LK.04!G23</f>
        <v>3592000</v>
      </c>
      <c r="H18" s="244"/>
      <c r="I18" s="10"/>
    </row>
    <row r="19" ht="19.5" spans="2:9">
      <c r="B19" s="5"/>
      <c r="C19" s="275"/>
      <c r="D19" s="276"/>
      <c r="E19" s="278" t="s">
        <v>62</v>
      </c>
      <c r="F19" s="130"/>
      <c r="G19" s="281">
        <f>+LK.05!G24</f>
        <v>5997670</v>
      </c>
      <c r="H19" s="244"/>
      <c r="I19" s="10"/>
    </row>
    <row r="20" ht="19.5" spans="2:9">
      <c r="B20" s="5"/>
      <c r="C20" s="275"/>
      <c r="D20" s="276"/>
      <c r="E20" s="278" t="s">
        <v>66</v>
      </c>
      <c r="F20" s="130"/>
      <c r="G20" s="281">
        <f>+LK.06!G25</f>
        <v>2722000</v>
      </c>
      <c r="H20" s="244"/>
      <c r="I20" s="10"/>
    </row>
    <row r="21" ht="19.5" spans="2:9">
      <c r="B21" s="5"/>
      <c r="C21" s="275"/>
      <c r="D21" s="276"/>
      <c r="E21" s="278" t="s">
        <v>73</v>
      </c>
      <c r="F21" s="130"/>
      <c r="G21" s="281">
        <f>+LK.07!G26</f>
        <v>11511387</v>
      </c>
      <c r="H21" s="244"/>
      <c r="I21" s="10"/>
    </row>
    <row r="22" ht="19.5" spans="2:9">
      <c r="B22" s="5"/>
      <c r="C22" s="275"/>
      <c r="D22" s="276"/>
      <c r="E22" s="278"/>
      <c r="F22" s="130"/>
      <c r="H22" s="244"/>
      <c r="I22" s="10"/>
    </row>
    <row r="23" ht="19.5" spans="2:9">
      <c r="B23" s="5"/>
      <c r="C23" s="277"/>
      <c r="D23" s="130"/>
      <c r="E23" s="282" t="s">
        <v>18</v>
      </c>
      <c r="F23" s="283"/>
      <c r="G23" s="284">
        <f>SUM(G15:G21)</f>
        <v>37078951</v>
      </c>
      <c r="H23" s="285">
        <f>H10-G23</f>
        <v>716051642.055</v>
      </c>
      <c r="I23" s="10"/>
    </row>
    <row r="24" ht="19.5" spans="2:9">
      <c r="B24" s="5"/>
      <c r="C24" s="243"/>
      <c r="D24" s="130"/>
      <c r="E24" s="130"/>
      <c r="F24" s="130"/>
      <c r="G24" s="130"/>
      <c r="H24" s="244"/>
      <c r="I24" s="10"/>
    </row>
    <row r="25" ht="19.5" spans="2:9">
      <c r="B25" s="5"/>
      <c r="C25" s="275" t="s">
        <v>19</v>
      </c>
      <c r="D25" s="286"/>
      <c r="E25" s="286"/>
      <c r="F25" s="130"/>
      <c r="G25" s="130"/>
      <c r="H25" s="244"/>
      <c r="I25" s="10"/>
    </row>
    <row r="26" ht="19.5" spans="2:9">
      <c r="B26" s="5"/>
      <c r="C26" s="275" t="s">
        <v>20</v>
      </c>
      <c r="D26" s="286" t="s">
        <v>21</v>
      </c>
      <c r="E26" s="286" t="s">
        <v>22</v>
      </c>
      <c r="F26" s="130"/>
      <c r="G26" s="130"/>
      <c r="H26" s="244"/>
      <c r="I26" s="10"/>
    </row>
    <row r="27" ht="20.25" spans="2:9">
      <c r="B27" s="5"/>
      <c r="C27" s="287">
        <v>44712</v>
      </c>
      <c r="D27" s="276" t="s">
        <v>23</v>
      </c>
      <c r="E27" s="283" t="s">
        <v>74</v>
      </c>
      <c r="F27" s="283"/>
      <c r="G27" s="288">
        <v>12731494.92</v>
      </c>
      <c r="H27" s="244"/>
      <c r="I27" s="10"/>
    </row>
    <row r="28" ht="21" spans="2:9">
      <c r="B28" s="5"/>
      <c r="C28" s="287">
        <v>44673</v>
      </c>
      <c r="D28" s="276"/>
      <c r="E28" s="289" t="s">
        <v>45</v>
      </c>
      <c r="F28" s="290"/>
      <c r="G28" s="291">
        <v>0</v>
      </c>
      <c r="H28" s="244"/>
      <c r="I28" s="10"/>
    </row>
    <row r="29" ht="20.25" spans="2:9">
      <c r="B29" s="5"/>
      <c r="C29" s="287"/>
      <c r="D29" s="276"/>
      <c r="E29" s="289" t="s">
        <v>54</v>
      </c>
      <c r="F29" s="292"/>
      <c r="G29" s="291">
        <v>0</v>
      </c>
      <c r="H29" s="244"/>
      <c r="I29" s="10"/>
    </row>
    <row r="30" ht="20.25" spans="2:9">
      <c r="B30" s="5"/>
      <c r="C30" s="287"/>
      <c r="D30" s="276"/>
      <c r="E30" s="289" t="s">
        <v>67</v>
      </c>
      <c r="F30" s="292"/>
      <c r="G30" s="291">
        <v>0</v>
      </c>
      <c r="H30" s="244"/>
      <c r="I30" s="10"/>
    </row>
    <row r="31" ht="20.25" spans="2:9">
      <c r="B31" s="5"/>
      <c r="C31" s="287"/>
      <c r="D31" s="276"/>
      <c r="E31" s="289" t="s">
        <v>68</v>
      </c>
      <c r="F31" s="292"/>
      <c r="G31" s="291">
        <v>0</v>
      </c>
      <c r="H31" s="244"/>
      <c r="I31" s="10"/>
    </row>
    <row r="32" ht="20.25" spans="2:9">
      <c r="B32" s="5"/>
      <c r="C32" s="287"/>
      <c r="D32" s="276"/>
      <c r="E32" s="289" t="s">
        <v>75</v>
      </c>
      <c r="F32" s="292"/>
      <c r="G32" s="293">
        <v>12695549</v>
      </c>
      <c r="H32" s="244"/>
      <c r="I32" s="10"/>
    </row>
    <row r="33" ht="20.25" spans="2:9">
      <c r="B33" s="5"/>
      <c r="C33" s="287"/>
      <c r="D33" s="276"/>
      <c r="E33" s="294" t="s">
        <v>76</v>
      </c>
      <c r="F33" s="292"/>
      <c r="G33" s="293">
        <v>35945.92</v>
      </c>
      <c r="H33" s="244"/>
      <c r="I33" s="10"/>
    </row>
    <row r="34" ht="20.25" spans="2:9">
      <c r="B34" s="5"/>
      <c r="C34" s="243"/>
      <c r="D34" s="130"/>
      <c r="E34" s="130"/>
      <c r="F34" s="130"/>
      <c r="G34" s="295">
        <v>0</v>
      </c>
      <c r="H34" s="244"/>
      <c r="I34" s="10"/>
    </row>
    <row r="35" ht="20.25" spans="2:9">
      <c r="B35" s="5"/>
      <c r="C35" s="243"/>
      <c r="D35" s="130"/>
      <c r="E35" s="296" t="s">
        <v>25</v>
      </c>
      <c r="G35" s="297">
        <f>G27-SUM(G28:G34)</f>
        <v>0</v>
      </c>
      <c r="H35" s="244"/>
      <c r="I35" s="10"/>
    </row>
    <row r="36" ht="20.25" spans="2:9">
      <c r="B36" s="5"/>
      <c r="C36" s="109"/>
      <c r="D36" s="66"/>
      <c r="E36" s="66"/>
      <c r="F36" s="66"/>
      <c r="G36" s="66"/>
      <c r="H36" s="110"/>
      <c r="I36" s="10"/>
    </row>
    <row r="37" ht="20.25" spans="2:9">
      <c r="B37" s="5"/>
      <c r="C37" s="258" t="s">
        <v>26</v>
      </c>
      <c r="D37" s="259"/>
      <c r="E37" s="259"/>
      <c r="F37" s="71"/>
      <c r="G37" s="260">
        <f>G23+G27</f>
        <v>49810445.92</v>
      </c>
      <c r="H37" s="261">
        <f>H10-G37</f>
        <v>703320147.135</v>
      </c>
      <c r="I37" s="10"/>
    </row>
    <row r="38" ht="19.5" spans="2:9">
      <c r="B38" s="5"/>
      <c r="C38" s="262" t="s">
        <v>27</v>
      </c>
      <c r="D38" s="263"/>
      <c r="E38" s="264"/>
      <c r="F38" s="130"/>
      <c r="G38" s="130"/>
      <c r="H38" s="244"/>
      <c r="I38" s="10"/>
    </row>
    <row r="39" ht="19.5" spans="2:9">
      <c r="B39" s="5"/>
      <c r="C39" s="265" t="s">
        <v>28</v>
      </c>
      <c r="D39" s="266" t="s">
        <v>1</v>
      </c>
      <c r="E39" s="298">
        <f>G35</f>
        <v>0</v>
      </c>
      <c r="F39" s="130"/>
      <c r="G39" s="130"/>
      <c r="H39" s="244"/>
      <c r="I39" s="10"/>
    </row>
    <row r="40" ht="19.5" spans="2:9">
      <c r="B40" s="5"/>
      <c r="C40" s="265" t="s">
        <v>29</v>
      </c>
      <c r="D40" s="266" t="s">
        <v>1</v>
      </c>
      <c r="E40" s="267" t="s">
        <v>30</v>
      </c>
      <c r="F40" s="130"/>
      <c r="G40" s="130"/>
      <c r="H40" s="244"/>
      <c r="I40" s="10"/>
    </row>
    <row r="41" ht="19.5" spans="2:9">
      <c r="B41" s="5"/>
      <c r="C41" s="268" t="s">
        <v>31</v>
      </c>
      <c r="D41" s="269" t="s">
        <v>1</v>
      </c>
      <c r="E41" s="270" t="s">
        <v>32</v>
      </c>
      <c r="F41" s="128"/>
      <c r="G41" s="271" t="s">
        <v>50</v>
      </c>
      <c r="H41" s="272"/>
      <c r="I41" s="10"/>
    </row>
    <row r="42" ht="6" customHeight="1" spans="2:9">
      <c r="B42" s="127"/>
      <c r="C42" s="128"/>
      <c r="D42" s="128"/>
      <c r="E42" s="128"/>
      <c r="F42" s="128"/>
      <c r="G42" s="128"/>
      <c r="H42" s="128"/>
      <c r="I42" s="129"/>
    </row>
    <row r="43" ht="19.5" spans="3:8">
      <c r="C43" s="130"/>
      <c r="D43" s="130"/>
      <c r="E43" s="130"/>
      <c r="F43" s="130"/>
      <c r="G43" s="130"/>
      <c r="H43" s="130"/>
    </row>
    <row r="44" ht="19.5" spans="3:8">
      <c r="C44" s="131" t="s">
        <v>34</v>
      </c>
      <c r="D44" s="132"/>
      <c r="E44" s="133"/>
      <c r="F44" s="134"/>
      <c r="G44" s="134"/>
      <c r="H44" s="130"/>
    </row>
    <row r="45" ht="19.5" spans="3:8">
      <c r="C45" s="131"/>
      <c r="D45" s="132"/>
      <c r="E45" s="133"/>
      <c r="F45" s="135" t="s">
        <v>35</v>
      </c>
      <c r="G45" s="136">
        <v>15000000</v>
      </c>
      <c r="H45" s="130"/>
    </row>
    <row r="46" ht="19.5" spans="3:8">
      <c r="C46" s="131" t="s">
        <v>36</v>
      </c>
      <c r="D46" s="132"/>
      <c r="E46" s="133">
        <v>75313059305.5</v>
      </c>
      <c r="F46" s="137" t="s">
        <v>37</v>
      </c>
      <c r="G46" s="138"/>
      <c r="H46" s="130"/>
    </row>
    <row r="47" ht="19.5" spans="3:8">
      <c r="C47" s="139">
        <v>0.01</v>
      </c>
      <c r="D47" s="132"/>
      <c r="E47" s="133">
        <f>E46*C47</f>
        <v>753130593.055</v>
      </c>
      <c r="F47" s="137" t="s">
        <v>38</v>
      </c>
      <c r="G47" s="140"/>
      <c r="H47" s="130"/>
    </row>
    <row r="48" ht="19.5" spans="3:8">
      <c r="C48" s="130"/>
      <c r="D48" s="130"/>
      <c r="E48" s="130"/>
      <c r="F48" s="130"/>
      <c r="G48" s="130"/>
      <c r="H48" s="130"/>
    </row>
    <row r="49" ht="19.5" spans="3:8">
      <c r="C49" s="130"/>
      <c r="D49" s="130"/>
      <c r="E49" s="130"/>
      <c r="F49" s="130"/>
      <c r="G49" s="130"/>
      <c r="H49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5:E25"/>
    <mergeCell ref="C37:E37"/>
    <mergeCell ref="G41:H41"/>
  </mergeCell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6.552380952381" style="1" customWidth="1"/>
    <col min="4" max="4" width="8.88571428571429" style="1"/>
    <col min="5" max="5" width="75" style="1" customWidth="1"/>
    <col min="6" max="6" width="23.1047619047619" style="1" customWidth="1"/>
    <col min="7" max="7" width="26.8857142857143" style="1" customWidth="1"/>
    <col min="8" max="8" width="23.1047619047619" style="1" customWidth="1"/>
    <col min="9" max="9" width="1" style="1" customWidth="1"/>
    <col min="10" max="13" width="8.88571428571429" style="1"/>
    <col min="14" max="14" width="15.2190476190476" style="1" customWidth="1"/>
    <col min="15" max="16384" width="8.88571428571429" style="1"/>
  </cols>
  <sheetData>
    <row r="3" ht="6" customHeight="1" spans="2:9">
      <c r="B3" s="2"/>
      <c r="C3" s="3"/>
      <c r="D3" s="3"/>
      <c r="E3" s="3"/>
      <c r="F3" s="3"/>
      <c r="G3" s="3"/>
      <c r="H3" s="3"/>
      <c r="I3" s="4"/>
    </row>
    <row r="4" ht="22.5" spans="2:9">
      <c r="B4" s="5"/>
      <c r="C4" s="6" t="s">
        <v>0</v>
      </c>
      <c r="D4" s="7" t="s">
        <v>1</v>
      </c>
      <c r="E4" s="8" t="s">
        <v>77</v>
      </c>
      <c r="F4" s="215" t="s">
        <v>3</v>
      </c>
      <c r="G4" s="216"/>
      <c r="H4" s="9">
        <f>+E48</f>
        <v>753130593.055</v>
      </c>
      <c r="I4" s="10"/>
    </row>
    <row r="5" ht="22.5" spans="2:9">
      <c r="B5" s="5"/>
      <c r="C5" s="11" t="s">
        <v>4</v>
      </c>
      <c r="D5" s="12" t="s">
        <v>1</v>
      </c>
      <c r="E5" s="13" t="s">
        <v>5</v>
      </c>
      <c r="F5" s="217" t="s">
        <v>6</v>
      </c>
      <c r="G5" s="218"/>
      <c r="H5" s="14">
        <f>G38</f>
        <v>66975064.35</v>
      </c>
      <c r="I5" s="10"/>
    </row>
    <row r="6" ht="22.5" spans="2:9">
      <c r="B6" s="5"/>
      <c r="C6" s="11" t="s">
        <v>7</v>
      </c>
      <c r="D6" s="12" t="s">
        <v>1</v>
      </c>
      <c r="E6" s="15" t="s">
        <v>78</v>
      </c>
      <c r="F6" s="217" t="s">
        <v>9</v>
      </c>
      <c r="G6" s="218"/>
      <c r="H6" s="14">
        <f>H4-H5</f>
        <v>686155528.705</v>
      </c>
      <c r="I6" s="10"/>
    </row>
    <row r="7" ht="22.5" spans="2:9">
      <c r="B7" s="5"/>
      <c r="C7" s="16"/>
      <c r="D7" s="17"/>
      <c r="E7" s="17"/>
      <c r="F7" s="219" t="s">
        <v>10</v>
      </c>
      <c r="G7" s="220"/>
      <c r="H7" s="19">
        <f>H6/H4</f>
        <v>0.911071114402188</v>
      </c>
      <c r="I7" s="10"/>
    </row>
    <row r="8" ht="6" customHeight="1" spans="2:9">
      <c r="B8" s="5"/>
      <c r="I8" s="10"/>
    </row>
    <row r="9" ht="21" spans="2:9">
      <c r="B9" s="5"/>
      <c r="C9" s="163" t="s">
        <v>11</v>
      </c>
      <c r="D9" s="164"/>
      <c r="E9" s="164"/>
      <c r="F9" s="164" t="s">
        <v>12</v>
      </c>
      <c r="G9" s="21" t="s">
        <v>13</v>
      </c>
      <c r="H9" s="22" t="s">
        <v>14</v>
      </c>
      <c r="I9" s="10"/>
    </row>
    <row r="10" ht="19.5" spans="2:9">
      <c r="B10" s="5"/>
      <c r="C10" s="221"/>
      <c r="D10" s="222"/>
      <c r="E10" s="222"/>
      <c r="F10" s="222"/>
      <c r="G10" s="222"/>
      <c r="H10" s="223">
        <f>H4</f>
        <v>753130593.055</v>
      </c>
      <c r="I10" s="10"/>
    </row>
    <row r="11" ht="19.5" spans="2:9">
      <c r="B11" s="5"/>
      <c r="C11" s="224" t="s">
        <v>15</v>
      </c>
      <c r="D11" s="225"/>
      <c r="E11" s="225"/>
      <c r="F11" s="222"/>
      <c r="G11" s="222"/>
      <c r="H11" s="226"/>
      <c r="I11" s="10"/>
    </row>
    <row r="12" ht="19.5" spans="2:9">
      <c r="B12" s="5"/>
      <c r="C12" s="227">
        <v>1</v>
      </c>
      <c r="D12" s="228" t="s">
        <v>16</v>
      </c>
      <c r="E12" s="228"/>
      <c r="F12" s="222"/>
      <c r="G12" s="229">
        <v>0</v>
      </c>
      <c r="H12" s="226"/>
      <c r="I12" s="10"/>
    </row>
    <row r="13" ht="19.5" spans="2:9">
      <c r="B13" s="5"/>
      <c r="C13" s="221"/>
      <c r="D13" s="228"/>
      <c r="E13" s="228"/>
      <c r="F13" s="222"/>
      <c r="G13" s="222"/>
      <c r="H13" s="226"/>
      <c r="I13" s="10"/>
    </row>
    <row r="14" ht="19.5" spans="2:9">
      <c r="B14" s="5"/>
      <c r="C14" s="224" t="s">
        <v>17</v>
      </c>
      <c r="D14" s="225"/>
      <c r="E14" s="225"/>
      <c r="F14" s="222"/>
      <c r="G14" s="222"/>
      <c r="H14" s="226"/>
      <c r="I14" s="10"/>
    </row>
    <row r="15" ht="19.5" spans="2:9">
      <c r="B15" s="5"/>
      <c r="C15" s="224"/>
      <c r="D15" s="225"/>
      <c r="E15" s="228" t="s">
        <v>41</v>
      </c>
      <c r="F15" s="222"/>
      <c r="G15" s="230">
        <f>+LK.01!G20</f>
        <v>3630500</v>
      </c>
      <c r="H15" s="226"/>
      <c r="I15" s="10"/>
    </row>
    <row r="16" ht="19.5" spans="2:9">
      <c r="B16" s="5"/>
      <c r="C16" s="224"/>
      <c r="D16" s="225"/>
      <c r="E16" s="228" t="s">
        <v>44</v>
      </c>
      <c r="F16" s="222"/>
      <c r="G16" s="230">
        <f>+LK.02!G22</f>
        <v>2244000</v>
      </c>
      <c r="H16" s="226"/>
      <c r="I16" s="10"/>
    </row>
    <row r="17" ht="19.5" spans="2:9">
      <c r="B17" s="5"/>
      <c r="C17" s="224"/>
      <c r="D17" s="225"/>
      <c r="E17" s="228" t="s">
        <v>53</v>
      </c>
      <c r="F17" s="222"/>
      <c r="G17" s="231">
        <f>+LK.03!G22</f>
        <v>7381394</v>
      </c>
      <c r="H17" s="226"/>
      <c r="I17" s="10"/>
    </row>
    <row r="18" ht="19.5" spans="2:9">
      <c r="B18" s="5"/>
      <c r="C18" s="224"/>
      <c r="D18" s="225"/>
      <c r="E18" s="228" t="s">
        <v>58</v>
      </c>
      <c r="F18" s="222"/>
      <c r="G18" s="231">
        <f>+LK.04!G23</f>
        <v>3592000</v>
      </c>
      <c r="H18" s="226"/>
      <c r="I18" s="10"/>
    </row>
    <row r="19" ht="19.5" spans="2:9">
      <c r="B19" s="5"/>
      <c r="C19" s="224"/>
      <c r="D19" s="225"/>
      <c r="E19" s="228" t="s">
        <v>62</v>
      </c>
      <c r="F19" s="222"/>
      <c r="G19" s="231">
        <f>+LK.05!G24</f>
        <v>5997670</v>
      </c>
      <c r="H19" s="226"/>
      <c r="I19" s="10"/>
    </row>
    <row r="20" ht="19.5" spans="2:9">
      <c r="B20" s="5"/>
      <c r="C20" s="224"/>
      <c r="D20" s="225"/>
      <c r="E20" s="228" t="s">
        <v>66</v>
      </c>
      <c r="F20" s="222"/>
      <c r="G20" s="231">
        <f>+LK.06!G25</f>
        <v>2722000</v>
      </c>
      <c r="H20" s="226"/>
      <c r="I20" s="10"/>
    </row>
    <row r="21" ht="19.5" spans="2:9">
      <c r="B21" s="5"/>
      <c r="C21" s="224"/>
      <c r="D21" s="225"/>
      <c r="E21" s="228" t="s">
        <v>73</v>
      </c>
      <c r="F21" s="222"/>
      <c r="G21" s="231">
        <f>+LK.07!G26</f>
        <v>11511387</v>
      </c>
      <c r="H21" s="226"/>
      <c r="I21" s="10"/>
    </row>
    <row r="22" ht="19.5" spans="2:9">
      <c r="B22" s="5"/>
      <c r="C22" s="224"/>
      <c r="D22" s="225"/>
      <c r="E22" s="228" t="s">
        <v>79</v>
      </c>
      <c r="F22" s="222"/>
      <c r="G22" s="231">
        <f>+LK.08!G27</f>
        <v>12731494.92</v>
      </c>
      <c r="H22" s="226"/>
      <c r="I22" s="10"/>
    </row>
    <row r="23" ht="20.25" spans="2:9">
      <c r="B23" s="5"/>
      <c r="C23" s="232"/>
      <c r="D23" s="233"/>
      <c r="E23" s="234"/>
      <c r="F23" s="235"/>
      <c r="G23" s="236"/>
      <c r="H23" s="237"/>
      <c r="I23" s="10"/>
    </row>
    <row r="24" ht="21" spans="2:9">
      <c r="B24" s="5"/>
      <c r="C24" s="238"/>
      <c r="D24" s="239"/>
      <c r="E24" s="240" t="s">
        <v>18</v>
      </c>
      <c r="F24" s="239"/>
      <c r="G24" s="241">
        <f>SUM(G15:G22)</f>
        <v>49810445.92</v>
      </c>
      <c r="H24" s="242">
        <f>H10-G24</f>
        <v>703320147.135</v>
      </c>
      <c r="I24" s="10"/>
    </row>
    <row r="25" ht="20.25" spans="2:9">
      <c r="B25" s="5"/>
      <c r="C25" s="243"/>
      <c r="D25" s="130"/>
      <c r="E25" s="130"/>
      <c r="F25" s="130"/>
      <c r="G25" s="130"/>
      <c r="H25" s="244"/>
      <c r="I25" s="10"/>
    </row>
    <row r="26" ht="19.5" spans="2:9">
      <c r="B26" s="5"/>
      <c r="C26" s="245" t="s">
        <v>19</v>
      </c>
      <c r="D26" s="246"/>
      <c r="E26" s="246"/>
      <c r="F26" s="128"/>
      <c r="G26" s="128"/>
      <c r="H26" s="247"/>
      <c r="I26" s="10"/>
    </row>
    <row r="27" ht="19.5" spans="2:9">
      <c r="B27" s="5"/>
      <c r="C27" s="224" t="s">
        <v>20</v>
      </c>
      <c r="D27" s="248" t="s">
        <v>21</v>
      </c>
      <c r="E27" s="248" t="s">
        <v>22</v>
      </c>
      <c r="F27" s="222"/>
      <c r="G27" s="222"/>
      <c r="H27" s="226"/>
      <c r="I27" s="10"/>
    </row>
    <row r="28" ht="20.25" spans="2:9">
      <c r="B28" s="5"/>
      <c r="C28" s="249">
        <v>44846</v>
      </c>
      <c r="D28" s="225" t="s">
        <v>23</v>
      </c>
      <c r="E28" s="208" t="s">
        <v>80</v>
      </c>
      <c r="F28" s="250"/>
      <c r="G28" s="209">
        <v>17164618.43</v>
      </c>
      <c r="H28" s="226"/>
      <c r="I28" s="10"/>
    </row>
    <row r="29" ht="21" spans="2:9">
      <c r="B29" s="5"/>
      <c r="C29" s="249">
        <v>44673</v>
      </c>
      <c r="D29" s="225"/>
      <c r="E29" s="251" t="s">
        <v>45</v>
      </c>
      <c r="F29" s="199"/>
      <c r="G29" s="252">
        <v>0</v>
      </c>
      <c r="H29" s="226"/>
      <c r="I29" s="10"/>
    </row>
    <row r="30" ht="20.25" spans="2:9">
      <c r="B30" s="5"/>
      <c r="C30" s="249"/>
      <c r="D30" s="225"/>
      <c r="E30" s="251" t="s">
        <v>54</v>
      </c>
      <c r="F30" s="253"/>
      <c r="G30" s="252">
        <v>0</v>
      </c>
      <c r="H30" s="226"/>
      <c r="I30" s="10"/>
    </row>
    <row r="31" ht="20.25" spans="2:14">
      <c r="B31" s="5"/>
      <c r="C31" s="249"/>
      <c r="D31" s="225"/>
      <c r="E31" s="251" t="s">
        <v>67</v>
      </c>
      <c r="F31" s="253"/>
      <c r="G31" s="252">
        <v>0</v>
      </c>
      <c r="H31" s="226"/>
      <c r="I31" s="10"/>
      <c r="N31" s="142"/>
    </row>
    <row r="32" ht="20.25" spans="2:9">
      <c r="B32" s="5"/>
      <c r="C32" s="249"/>
      <c r="D32" s="225"/>
      <c r="E32" s="251" t="s">
        <v>68</v>
      </c>
      <c r="F32" s="253"/>
      <c r="G32" s="252">
        <v>0</v>
      </c>
      <c r="H32" s="226"/>
      <c r="I32" s="10"/>
    </row>
    <row r="33" ht="21" spans="2:14">
      <c r="B33" s="5"/>
      <c r="C33" s="249"/>
      <c r="D33" s="225"/>
      <c r="E33" s="251" t="s">
        <v>75</v>
      </c>
      <c r="F33" s="214"/>
      <c r="G33" s="254">
        <v>64054.08</v>
      </c>
      <c r="H33" s="226"/>
      <c r="I33" s="10"/>
      <c r="N33" s="142"/>
    </row>
    <row r="34" ht="21" spans="2:9">
      <c r="B34" s="5"/>
      <c r="C34" s="249"/>
      <c r="D34" s="225"/>
      <c r="E34" s="255" t="s">
        <v>81</v>
      </c>
      <c r="F34" s="214"/>
      <c r="G34" s="254">
        <v>17100564.35</v>
      </c>
      <c r="H34" s="226"/>
      <c r="I34" s="10"/>
    </row>
    <row r="35" ht="19.5" spans="2:14">
      <c r="B35" s="5"/>
      <c r="C35" s="221"/>
      <c r="D35" s="222"/>
      <c r="E35" s="222"/>
      <c r="F35" s="222"/>
      <c r="G35" s="229">
        <v>0</v>
      </c>
      <c r="H35" s="226"/>
      <c r="I35" s="10"/>
      <c r="N35" s="142"/>
    </row>
    <row r="36" ht="22.5" spans="2:9">
      <c r="B36" s="5"/>
      <c r="C36" s="221"/>
      <c r="D36" s="222"/>
      <c r="E36" s="256" t="s">
        <v>25</v>
      </c>
      <c r="F36" s="257"/>
      <c r="G36" s="192">
        <f>G28-SUM(G29:G35)</f>
        <v>0</v>
      </c>
      <c r="H36" s="226"/>
      <c r="I36" s="10"/>
    </row>
    <row r="37" ht="20.25" spans="2:9">
      <c r="B37" s="5"/>
      <c r="C37" s="109"/>
      <c r="D37" s="66"/>
      <c r="E37" s="66"/>
      <c r="F37" s="66"/>
      <c r="G37" s="66"/>
      <c r="H37" s="110"/>
      <c r="I37" s="10"/>
    </row>
    <row r="38" ht="20.25" spans="2:9">
      <c r="B38" s="5"/>
      <c r="C38" s="258" t="s">
        <v>26</v>
      </c>
      <c r="D38" s="259"/>
      <c r="E38" s="259"/>
      <c r="F38" s="71"/>
      <c r="G38" s="260">
        <f>G24+G28</f>
        <v>66975064.35</v>
      </c>
      <c r="H38" s="261">
        <f>H10-G38</f>
        <v>686155528.705</v>
      </c>
      <c r="I38" s="10"/>
    </row>
    <row r="39" ht="19.5" spans="2:9">
      <c r="B39" s="5"/>
      <c r="C39" s="262" t="s">
        <v>27</v>
      </c>
      <c r="D39" s="263"/>
      <c r="E39" s="264"/>
      <c r="F39" s="130"/>
      <c r="G39" s="130"/>
      <c r="H39" s="244"/>
      <c r="I39" s="10"/>
    </row>
    <row r="40" ht="22.5" spans="2:9">
      <c r="B40" s="5"/>
      <c r="C40" s="265" t="s">
        <v>28</v>
      </c>
      <c r="D40" s="266" t="s">
        <v>1</v>
      </c>
      <c r="E40" s="120">
        <f>G36</f>
        <v>0</v>
      </c>
      <c r="F40" s="130"/>
      <c r="G40" s="130"/>
      <c r="H40" s="244"/>
      <c r="I40" s="10"/>
    </row>
    <row r="41" ht="19.5" spans="2:9">
      <c r="B41" s="5"/>
      <c r="C41" s="265" t="s">
        <v>29</v>
      </c>
      <c r="D41" s="266" t="s">
        <v>1</v>
      </c>
      <c r="E41" s="267" t="s">
        <v>30</v>
      </c>
      <c r="F41" s="130"/>
      <c r="G41" s="130"/>
      <c r="H41" s="244"/>
      <c r="I41" s="10"/>
    </row>
    <row r="42" ht="19.5" spans="2:9">
      <c r="B42" s="5"/>
      <c r="C42" s="268" t="s">
        <v>31</v>
      </c>
      <c r="D42" s="269" t="s">
        <v>1</v>
      </c>
      <c r="E42" s="270" t="s">
        <v>32</v>
      </c>
      <c r="F42" s="128"/>
      <c r="G42" s="271" t="s">
        <v>50</v>
      </c>
      <c r="H42" s="272"/>
      <c r="I42" s="10"/>
    </row>
    <row r="43" ht="6" customHeight="1" spans="2:9">
      <c r="B43" s="127"/>
      <c r="C43" s="128"/>
      <c r="D43" s="128"/>
      <c r="E43" s="128"/>
      <c r="F43" s="129"/>
      <c r="G43" s="129"/>
      <c r="H43" s="129"/>
      <c r="I43" s="129"/>
    </row>
    <row r="44" ht="19.5" spans="3:8">
      <c r="C44" s="130"/>
      <c r="D44" s="130"/>
      <c r="E44" s="130"/>
      <c r="F44" s="130"/>
      <c r="G44" s="130"/>
      <c r="H44" s="130"/>
    </row>
    <row r="45" ht="19.5" spans="3:8">
      <c r="C45" s="131" t="s">
        <v>34</v>
      </c>
      <c r="D45" s="132"/>
      <c r="E45" s="133"/>
      <c r="F45" s="134"/>
      <c r="G45" s="134"/>
      <c r="H45" s="130"/>
    </row>
    <row r="46" ht="19.5" spans="3:8">
      <c r="C46" s="131"/>
      <c r="D46" s="132"/>
      <c r="E46" s="133"/>
      <c r="F46" s="135" t="s">
        <v>35</v>
      </c>
      <c r="G46" s="136">
        <v>15000000</v>
      </c>
      <c r="H46" s="130"/>
    </row>
    <row r="47" ht="19.5" spans="3:8">
      <c r="C47" s="131" t="s">
        <v>36</v>
      </c>
      <c r="D47" s="132"/>
      <c r="E47" s="133">
        <v>75313059305.5</v>
      </c>
      <c r="F47" s="137" t="s">
        <v>37</v>
      </c>
      <c r="G47" s="138"/>
      <c r="H47" s="130"/>
    </row>
    <row r="48" ht="19.5" spans="3:8">
      <c r="C48" s="139">
        <v>0.01</v>
      </c>
      <c r="D48" s="132"/>
      <c r="E48" s="133">
        <f>E47*C48</f>
        <v>753130593.055</v>
      </c>
      <c r="F48" s="137" t="s">
        <v>38</v>
      </c>
      <c r="G48" s="140"/>
      <c r="H48" s="130"/>
    </row>
    <row r="49" ht="19.5" spans="3:8">
      <c r="C49" s="130"/>
      <c r="D49" s="130"/>
      <c r="E49" s="130"/>
      <c r="F49" s="130"/>
      <c r="G49" s="130"/>
      <c r="H49" s="130"/>
    </row>
    <row r="50" ht="19.5" spans="3:8">
      <c r="C50" s="130"/>
      <c r="D50" s="130"/>
      <c r="E50" s="130"/>
      <c r="F50" s="130"/>
      <c r="G50" s="130"/>
      <c r="H50" s="130"/>
    </row>
  </sheetData>
  <mergeCells count="12">
    <mergeCell ref="F4:G4"/>
    <mergeCell ref="F5:G5"/>
    <mergeCell ref="F6:G6"/>
    <mergeCell ref="F7:G7"/>
    <mergeCell ref="C9:E9"/>
    <mergeCell ref="C11:E11"/>
    <mergeCell ref="D12:E12"/>
    <mergeCell ref="D13:E13"/>
    <mergeCell ref="C14:E14"/>
    <mergeCell ref="C26:E26"/>
    <mergeCell ref="C38:E38"/>
    <mergeCell ref="G42:H42"/>
  </mergeCells>
  <pageMargins left="0.0393700787401575" right="0.0393700787401575" top="0.0393700787401575" bottom="0.0393700787401575" header="0.0393700787401575" footer="0.0393700787401575"/>
  <pageSetup paperSize="9" scale="55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55">
    <comment s:ref="G60" rgbClr="2F9958"/>
  </commentList>
  <commentList sheetStid="56"/>
  <commentList sheetStid="57"/>
  <commentList sheetStid="58"/>
  <commentList sheetStid="59"/>
  <commentList sheetStid="60">
    <comment s:ref="G44" rgbClr="1B9CE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LK.49</vt:lpstr>
      <vt:lpstr>LK.50</vt:lpstr>
      <vt:lpstr>LK.51</vt:lpstr>
      <vt:lpstr>LK.52</vt:lpstr>
      <vt:lpstr>LK.53</vt:lpstr>
      <vt:lpstr>LK.54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2022-10-10T04:50:00Z</dcterms:created>
  <cp:lastPrinted>2024-02-27T02:06:00Z</cp:lastPrinted>
  <dcterms:modified xsi:type="dcterms:W3CDTF">2024-03-15T02:25:35Z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E255E69926544A488FB5E6BE69AEBA8A</vt:lpwstr>
  </property>
  <property fmtid="{D5CDD505-2E9C-101B-9397-08002B2CF9AE}" pid="3" name="KSOProductBuildVer">
    <vt:lpwstr>1033-11.2.0.11516</vt:lpwstr>
  </property>
</Properties>
</file>