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ssi\Rekap LK\SSI-I.22.003 Adaro\Rekap\"/>
    </mc:Choice>
  </mc:AlternateContent>
  <xr:revisionPtr revIDLastSave="0" documentId="13_ncr:1_{08114ED5-30E4-4F79-ADE2-7598A9261955}" xr6:coauthVersionLast="47" xr6:coauthVersionMax="47" xr10:uidLastSave="{00000000-0000-0000-0000-000000000000}"/>
  <bookViews>
    <workbookView xWindow="-108" yWindow="-108" windowWidth="23256" windowHeight="12576" firstSheet="40" activeTab="49" xr2:uid="{00000000-000D-0000-FFFF-FFFF00000000}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  <sheet name="LK.49" sheetId="55" r:id="rId49"/>
    <sheet name="LK.50" sheetId="56" r:id="rId50"/>
    <sheet name="LK.51" sheetId="57" r:id="rId51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  <definedName name="_xlnm.Print_Area" localSheetId="48">LK.49!$B$3:$H$57</definedName>
    <definedName name="_xlnm.Print_Area" localSheetId="49">LK.50!$B$3:$H$57</definedName>
    <definedName name="_xlnm.Print_Area" localSheetId="50">LK.51!$B$3:$H$57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57" l="1"/>
  <c r="E62" i="57"/>
  <c r="G4" i="57" s="1"/>
  <c r="L53" i="57"/>
  <c r="L50" i="57"/>
  <c r="F50" i="57"/>
  <c r="E54" i="57" s="1"/>
  <c r="L41" i="57"/>
  <c r="L36" i="57"/>
  <c r="F34" i="57"/>
  <c r="F32" i="57"/>
  <c r="F30" i="57"/>
  <c r="F28" i="57"/>
  <c r="F26" i="57"/>
  <c r="F24" i="57"/>
  <c r="F22" i="57"/>
  <c r="F20" i="57"/>
  <c r="F18" i="57"/>
  <c r="F16" i="57"/>
  <c r="F14" i="57"/>
  <c r="F12" i="57"/>
  <c r="F39" i="57" s="1"/>
  <c r="F52" i="57" s="1"/>
  <c r="G5" i="57" s="1"/>
  <c r="F36" i="56"/>
  <c r="E62" i="56"/>
  <c r="L53" i="56"/>
  <c r="L50" i="56"/>
  <c r="F50" i="56"/>
  <c r="E54" i="56" s="1"/>
  <c r="L41" i="56"/>
  <c r="L36" i="56"/>
  <c r="F34" i="56"/>
  <c r="F32" i="56"/>
  <c r="F30" i="56"/>
  <c r="F28" i="56"/>
  <c r="F26" i="56"/>
  <c r="F24" i="56"/>
  <c r="F22" i="56"/>
  <c r="F20" i="56"/>
  <c r="F18" i="56"/>
  <c r="F16" i="56"/>
  <c r="F14" i="56"/>
  <c r="F12" i="56"/>
  <c r="F39" i="56" s="1"/>
  <c r="F52" i="56" s="1"/>
  <c r="G5" i="56" s="1"/>
  <c r="G4" i="56"/>
  <c r="E62" i="55"/>
  <c r="E54" i="55"/>
  <c r="L53" i="55"/>
  <c r="L50" i="55"/>
  <c r="F50" i="55"/>
  <c r="L41" i="55"/>
  <c r="L36" i="55"/>
  <c r="F36" i="55"/>
  <c r="F34" i="55"/>
  <c r="F32" i="55"/>
  <c r="F30" i="55"/>
  <c r="F28" i="55"/>
  <c r="F26" i="55"/>
  <c r="F24" i="55"/>
  <c r="F22" i="55"/>
  <c r="F20" i="55"/>
  <c r="F18" i="55"/>
  <c r="F39" i="55" s="1"/>
  <c r="F52" i="55" s="1"/>
  <c r="G5" i="55" s="1"/>
  <c r="G6" i="55" s="1"/>
  <c r="G7" i="55" s="1"/>
  <c r="F16" i="55"/>
  <c r="F14" i="55"/>
  <c r="F12" i="55"/>
  <c r="G4" i="55"/>
  <c r="G39" i="55" s="1"/>
  <c r="E62" i="54"/>
  <c r="L53" i="54"/>
  <c r="L50" i="54"/>
  <c r="F50" i="54"/>
  <c r="E54" i="54" s="1"/>
  <c r="G45" i="54"/>
  <c r="L41" i="54"/>
  <c r="L36" i="54"/>
  <c r="F36" i="54"/>
  <c r="F34" i="54"/>
  <c r="F32" i="54"/>
  <c r="F30" i="54"/>
  <c r="F28" i="54"/>
  <c r="F26" i="54"/>
  <c r="F24" i="54"/>
  <c r="F22" i="54"/>
  <c r="F20" i="54"/>
  <c r="F18" i="54"/>
  <c r="F16" i="54"/>
  <c r="F14" i="54"/>
  <c r="F12" i="54"/>
  <c r="F39" i="54" s="1"/>
  <c r="F52" i="54" s="1"/>
  <c r="G5" i="54" s="1"/>
  <c r="G4" i="54"/>
  <c r="G39" i="54" s="1"/>
  <c r="E60" i="53"/>
  <c r="L51" i="53"/>
  <c r="L48" i="53"/>
  <c r="F48" i="53"/>
  <c r="E52" i="53" s="1"/>
  <c r="L39" i="53"/>
  <c r="L34" i="53"/>
  <c r="F34" i="53"/>
  <c r="F32" i="53"/>
  <c r="F30" i="53"/>
  <c r="F28" i="53"/>
  <c r="F26" i="53"/>
  <c r="F24" i="53"/>
  <c r="F22" i="53"/>
  <c r="F20" i="53"/>
  <c r="F18" i="53"/>
  <c r="F16" i="53"/>
  <c r="F14" i="53"/>
  <c r="F12" i="53"/>
  <c r="F37" i="53" s="1"/>
  <c r="F50" i="53" s="1"/>
  <c r="G4" i="53"/>
  <c r="G37" i="53" s="1"/>
  <c r="E60" i="52"/>
  <c r="L51" i="52"/>
  <c r="L48" i="52"/>
  <c r="F48" i="52"/>
  <c r="E52" i="52" s="1"/>
  <c r="G43" i="52"/>
  <c r="L39" i="52"/>
  <c r="L34" i="52"/>
  <c r="F34" i="52"/>
  <c r="F32" i="52"/>
  <c r="F30" i="52"/>
  <c r="F28" i="52"/>
  <c r="F26" i="52"/>
  <c r="F24" i="52"/>
  <c r="F22" i="52"/>
  <c r="F20" i="52"/>
  <c r="F18" i="52"/>
  <c r="F37" i="52" s="1"/>
  <c r="F50" i="52" s="1"/>
  <c r="F16" i="52"/>
  <c r="F14" i="52"/>
  <c r="F12" i="52"/>
  <c r="G4" i="52"/>
  <c r="E60" i="51"/>
  <c r="G4" i="51" s="1"/>
  <c r="L51" i="51"/>
  <c r="L48" i="51"/>
  <c r="F48" i="51"/>
  <c r="E52" i="51" s="1"/>
  <c r="G43" i="51"/>
  <c r="L39" i="51"/>
  <c r="L34" i="51"/>
  <c r="F34" i="51"/>
  <c r="F32" i="51"/>
  <c r="F30" i="51"/>
  <c r="F28" i="51"/>
  <c r="F26" i="51"/>
  <c r="F24" i="51"/>
  <c r="F22" i="51"/>
  <c r="F20" i="51"/>
  <c r="F18" i="51"/>
  <c r="F16" i="51"/>
  <c r="F14" i="51"/>
  <c r="F12" i="51"/>
  <c r="F37" i="51" s="1"/>
  <c r="F50" i="51" s="1"/>
  <c r="G5" i="51" s="1"/>
  <c r="E60" i="50"/>
  <c r="L51" i="50"/>
  <c r="L48" i="50"/>
  <c r="F48" i="50"/>
  <c r="E52" i="50" s="1"/>
  <c r="L39" i="50"/>
  <c r="L34" i="50"/>
  <c r="F34" i="50"/>
  <c r="F32" i="50"/>
  <c r="F30" i="50"/>
  <c r="F28" i="50"/>
  <c r="F26" i="50"/>
  <c r="F24" i="50"/>
  <c r="F22" i="50"/>
  <c r="F20" i="50"/>
  <c r="F18" i="50"/>
  <c r="F16" i="50"/>
  <c r="F14" i="50"/>
  <c r="F12" i="50"/>
  <c r="F37" i="50" s="1"/>
  <c r="F50" i="50" s="1"/>
  <c r="G4" i="50"/>
  <c r="G37" i="50" s="1"/>
  <c r="E58" i="49"/>
  <c r="G4" i="49" s="1"/>
  <c r="E50" i="49"/>
  <c r="L49" i="49"/>
  <c r="L46" i="49"/>
  <c r="F46" i="49"/>
  <c r="L37" i="49"/>
  <c r="F32" i="49"/>
  <c r="F30" i="49"/>
  <c r="F28" i="49"/>
  <c r="F26" i="49"/>
  <c r="F24" i="49"/>
  <c r="F22" i="49"/>
  <c r="F20" i="49"/>
  <c r="F18" i="49"/>
  <c r="F35" i="49" s="1"/>
  <c r="F48" i="49" s="1"/>
  <c r="G5" i="49" s="1"/>
  <c r="F16" i="49"/>
  <c r="F14" i="49"/>
  <c r="F12" i="49"/>
  <c r="E58" i="48"/>
  <c r="L49" i="48"/>
  <c r="L46" i="48"/>
  <c r="F46" i="48"/>
  <c r="E50" i="48" s="1"/>
  <c r="L37" i="48"/>
  <c r="F32" i="48"/>
  <c r="F30" i="48"/>
  <c r="F28" i="48"/>
  <c r="F26" i="48"/>
  <c r="F24" i="48"/>
  <c r="F22" i="48"/>
  <c r="F20" i="48"/>
  <c r="F18" i="48"/>
  <c r="F16" i="48"/>
  <c r="F14" i="48"/>
  <c r="F12" i="48"/>
  <c r="F35" i="48" s="1"/>
  <c r="F48" i="48" s="1"/>
  <c r="G5" i="48" s="1"/>
  <c r="G4" i="48"/>
  <c r="E58" i="47"/>
  <c r="L49" i="47"/>
  <c r="L46" i="47"/>
  <c r="F46" i="47"/>
  <c r="E50" i="47" s="1"/>
  <c r="G41" i="47"/>
  <c r="L37" i="47"/>
  <c r="F32" i="47"/>
  <c r="F30" i="47"/>
  <c r="F28" i="47"/>
  <c r="F26" i="47"/>
  <c r="F24" i="47"/>
  <c r="F22" i="47"/>
  <c r="F20" i="47"/>
  <c r="F18" i="47"/>
  <c r="F16" i="47"/>
  <c r="F14" i="47"/>
  <c r="F12" i="47"/>
  <c r="F35" i="47" s="1"/>
  <c r="F48" i="47" s="1"/>
  <c r="G5" i="47" s="1"/>
  <c r="G6" i="47" s="1"/>
  <c r="G7" i="47" s="1"/>
  <c r="G4" i="47"/>
  <c r="E58" i="46"/>
  <c r="E50" i="46"/>
  <c r="L49" i="46"/>
  <c r="L46" i="46"/>
  <c r="F46" i="46"/>
  <c r="G42" i="46"/>
  <c r="L37" i="46"/>
  <c r="F32" i="46"/>
  <c r="F30" i="46"/>
  <c r="F28" i="46"/>
  <c r="F26" i="46"/>
  <c r="F24" i="46"/>
  <c r="F22" i="46"/>
  <c r="F20" i="46"/>
  <c r="F18" i="46"/>
  <c r="F16" i="46"/>
  <c r="F14" i="46"/>
  <c r="F12" i="46"/>
  <c r="F35" i="46" s="1"/>
  <c r="F48" i="46" s="1"/>
  <c r="G4" i="46"/>
  <c r="E56" i="45"/>
  <c r="E48" i="45"/>
  <c r="L47" i="45"/>
  <c r="L44" i="45"/>
  <c r="F44" i="45"/>
  <c r="G39" i="45"/>
  <c r="L35" i="45"/>
  <c r="F30" i="45"/>
  <c r="F28" i="45"/>
  <c r="F26" i="45"/>
  <c r="F24" i="45"/>
  <c r="F22" i="45"/>
  <c r="F20" i="45"/>
  <c r="F18" i="45"/>
  <c r="F16" i="45"/>
  <c r="F14" i="45"/>
  <c r="F33" i="45" s="1"/>
  <c r="F12" i="45"/>
  <c r="G4" i="45"/>
  <c r="E56" i="44"/>
  <c r="G4" i="44" s="1"/>
  <c r="E48" i="44"/>
  <c r="L47" i="44"/>
  <c r="F44" i="44"/>
  <c r="G40" i="44"/>
  <c r="L44" i="44" s="1"/>
  <c r="F30" i="44"/>
  <c r="F28" i="44"/>
  <c r="F26" i="44"/>
  <c r="F24" i="44"/>
  <c r="F22" i="44"/>
  <c r="F20" i="44"/>
  <c r="F18" i="44"/>
  <c r="F16" i="44"/>
  <c r="F14" i="44"/>
  <c r="F33" i="44" s="1"/>
  <c r="F46" i="44" s="1"/>
  <c r="G5" i="44" s="1"/>
  <c r="F12" i="44"/>
  <c r="E55" i="43"/>
  <c r="G4" i="43" s="1"/>
  <c r="E47" i="43"/>
  <c r="L46" i="43"/>
  <c r="F43" i="43"/>
  <c r="G39" i="43"/>
  <c r="L43" i="43" s="1"/>
  <c r="F30" i="43"/>
  <c r="F28" i="43"/>
  <c r="F26" i="43"/>
  <c r="F24" i="43"/>
  <c r="F22" i="43"/>
  <c r="F20" i="43"/>
  <c r="F18" i="43"/>
  <c r="F16" i="43"/>
  <c r="F14" i="43"/>
  <c r="F33" i="43" s="1"/>
  <c r="F45" i="43" s="1"/>
  <c r="G5" i="43" s="1"/>
  <c r="F12" i="43"/>
  <c r="E56" i="42"/>
  <c r="G4" i="42" s="1"/>
  <c r="E48" i="42"/>
  <c r="L47" i="42"/>
  <c r="F44" i="42"/>
  <c r="G40" i="42"/>
  <c r="L44" i="42" s="1"/>
  <c r="F30" i="42"/>
  <c r="F28" i="42"/>
  <c r="F26" i="42"/>
  <c r="F24" i="42"/>
  <c r="F22" i="42"/>
  <c r="F20" i="42"/>
  <c r="F18" i="42"/>
  <c r="F16" i="42"/>
  <c r="F14" i="42"/>
  <c r="F33" i="42" s="1"/>
  <c r="F46" i="42" s="1"/>
  <c r="G5" i="42" s="1"/>
  <c r="F12" i="42"/>
  <c r="E53" i="41"/>
  <c r="G4" i="41" s="1"/>
  <c r="E45" i="41"/>
  <c r="L44" i="41"/>
  <c r="F41" i="41"/>
  <c r="G37" i="41"/>
  <c r="L41" i="41" s="1"/>
  <c r="L36" i="41"/>
  <c r="F28" i="41"/>
  <c r="F26" i="41"/>
  <c r="F24" i="41"/>
  <c r="F22" i="41"/>
  <c r="F20" i="41"/>
  <c r="F18" i="41"/>
  <c r="F16" i="41"/>
  <c r="F14" i="41"/>
  <c r="F31" i="41" s="1"/>
  <c r="F43" i="41" s="1"/>
  <c r="G5" i="41" s="1"/>
  <c r="F12" i="41"/>
  <c r="E53" i="40"/>
  <c r="G4" i="40" s="1"/>
  <c r="E45" i="40"/>
  <c r="L44" i="40"/>
  <c r="F41" i="40"/>
  <c r="G37" i="40"/>
  <c r="L41" i="40" s="1"/>
  <c r="L36" i="40"/>
  <c r="F31" i="40"/>
  <c r="F43" i="40" s="1"/>
  <c r="G5" i="40" s="1"/>
  <c r="F28" i="40"/>
  <c r="F26" i="40"/>
  <c r="F24" i="40"/>
  <c r="F22" i="40"/>
  <c r="F20" i="40"/>
  <c r="F18" i="40"/>
  <c r="F16" i="40"/>
  <c r="F14" i="40"/>
  <c r="F12" i="40"/>
  <c r="E55" i="39"/>
  <c r="E47" i="39"/>
  <c r="L46" i="39"/>
  <c r="F43" i="39"/>
  <c r="G39" i="39"/>
  <c r="L43" i="39" s="1"/>
  <c r="L37" i="39"/>
  <c r="L36" i="39"/>
  <c r="F28" i="39"/>
  <c r="F26" i="39"/>
  <c r="F24" i="39"/>
  <c r="F22" i="39"/>
  <c r="F20" i="39"/>
  <c r="F18" i="39"/>
  <c r="F16" i="39"/>
  <c r="F14" i="39"/>
  <c r="F31" i="39" s="1"/>
  <c r="F12" i="39"/>
  <c r="G4" i="39"/>
  <c r="E54" i="38"/>
  <c r="G4" i="38" s="1"/>
  <c r="E46" i="38"/>
  <c r="L45" i="38"/>
  <c r="F42" i="38"/>
  <c r="G38" i="38"/>
  <c r="L42" i="38" s="1"/>
  <c r="L36" i="38"/>
  <c r="F28" i="38"/>
  <c r="F26" i="38"/>
  <c r="F24" i="38"/>
  <c r="F22" i="38"/>
  <c r="F20" i="38"/>
  <c r="F18" i="38"/>
  <c r="F16" i="38"/>
  <c r="F14" i="38"/>
  <c r="F12" i="38"/>
  <c r="F31" i="38" s="1"/>
  <c r="F44" i="38" s="1"/>
  <c r="G5" i="38" s="1"/>
  <c r="E51" i="37"/>
  <c r="G4" i="37" s="1"/>
  <c r="E43" i="37"/>
  <c r="L42" i="37"/>
  <c r="F39" i="37"/>
  <c r="G35" i="37"/>
  <c r="L39" i="37" s="1"/>
  <c r="L34" i="37"/>
  <c r="L27" i="37"/>
  <c r="F26" i="37"/>
  <c r="F24" i="37"/>
  <c r="F22" i="37"/>
  <c r="F20" i="37"/>
  <c r="F18" i="37"/>
  <c r="F16" i="37"/>
  <c r="F14" i="37"/>
  <c r="F12" i="37"/>
  <c r="F29" i="37" s="1"/>
  <c r="F41" i="37" s="1"/>
  <c r="G5" i="37" s="1"/>
  <c r="E52" i="36"/>
  <c r="G4" i="36" s="1"/>
  <c r="E44" i="36"/>
  <c r="L43" i="36"/>
  <c r="F40" i="36"/>
  <c r="G36" i="36"/>
  <c r="L40" i="36" s="1"/>
  <c r="L34" i="36"/>
  <c r="L27" i="36"/>
  <c r="F26" i="36"/>
  <c r="F24" i="36"/>
  <c r="F22" i="36"/>
  <c r="F20" i="36"/>
  <c r="F18" i="36"/>
  <c r="F16" i="36"/>
  <c r="F14" i="36"/>
  <c r="F12" i="36"/>
  <c r="F29" i="36" s="1"/>
  <c r="F42" i="36" s="1"/>
  <c r="G5" i="36" s="1"/>
  <c r="E51" i="35"/>
  <c r="G4" i="35" s="1"/>
  <c r="E43" i="35"/>
  <c r="L42" i="35"/>
  <c r="F39" i="35"/>
  <c r="G35" i="35"/>
  <c r="L39" i="35" s="1"/>
  <c r="L34" i="35"/>
  <c r="L27" i="35"/>
  <c r="F26" i="35"/>
  <c r="F24" i="35"/>
  <c r="F22" i="35"/>
  <c r="F20" i="35"/>
  <c r="F18" i="35"/>
  <c r="F16" i="35"/>
  <c r="F14" i="35"/>
  <c r="F12" i="35"/>
  <c r="F29" i="35" s="1"/>
  <c r="F41" i="35" s="1"/>
  <c r="G5" i="35" s="1"/>
  <c r="E52" i="34"/>
  <c r="G4" i="34" s="1"/>
  <c r="L43" i="34"/>
  <c r="G36" i="34"/>
  <c r="L40" i="34" s="1"/>
  <c r="F35" i="34"/>
  <c r="F40" i="34" s="1"/>
  <c r="E44" i="34" s="1"/>
  <c r="L34" i="34"/>
  <c r="L27" i="34"/>
  <c r="F26" i="34"/>
  <c r="F24" i="34"/>
  <c r="F22" i="34"/>
  <c r="F20" i="34"/>
  <c r="F18" i="34"/>
  <c r="F16" i="34"/>
  <c r="F14" i="34"/>
  <c r="F29" i="34" s="1"/>
  <c r="F42" i="34" s="1"/>
  <c r="G5" i="34" s="1"/>
  <c r="F12" i="34"/>
  <c r="E49" i="33"/>
  <c r="G4" i="33" s="1"/>
  <c r="L40" i="33"/>
  <c r="F37" i="33"/>
  <c r="E41" i="33" s="1"/>
  <c r="G33" i="33"/>
  <c r="L37" i="33" s="1"/>
  <c r="L32" i="33"/>
  <c r="L25" i="33"/>
  <c r="F24" i="33"/>
  <c r="F22" i="33"/>
  <c r="F20" i="33"/>
  <c r="F18" i="33"/>
  <c r="F16" i="33"/>
  <c r="F14" i="33"/>
  <c r="F12" i="33"/>
  <c r="F27" i="33" s="1"/>
  <c r="F39" i="33" s="1"/>
  <c r="G5" i="33" s="1"/>
  <c r="E49" i="32"/>
  <c r="G4" i="32" s="1"/>
  <c r="E41" i="32"/>
  <c r="F37" i="32"/>
  <c r="G33" i="32"/>
  <c r="L37" i="32" s="1"/>
  <c r="L32" i="32"/>
  <c r="F27" i="32"/>
  <c r="F39" i="32" s="1"/>
  <c r="G5" i="32" s="1"/>
  <c r="L25" i="32"/>
  <c r="F24" i="32"/>
  <c r="F22" i="32"/>
  <c r="F20" i="32"/>
  <c r="F18" i="32"/>
  <c r="F16" i="32"/>
  <c r="F14" i="32"/>
  <c r="F12" i="32"/>
  <c r="E50" i="31"/>
  <c r="G4" i="31" s="1"/>
  <c r="E42" i="31"/>
  <c r="F38" i="31"/>
  <c r="G34" i="31"/>
  <c r="L38" i="31" s="1"/>
  <c r="L32" i="31"/>
  <c r="L25" i="31"/>
  <c r="F24" i="31"/>
  <c r="F22" i="31"/>
  <c r="F20" i="31"/>
  <c r="F18" i="31"/>
  <c r="F16" i="31"/>
  <c r="F14" i="31"/>
  <c r="F12" i="31"/>
  <c r="F27" i="31" s="1"/>
  <c r="F40" i="31" s="1"/>
  <c r="G5" i="31" s="1"/>
  <c r="E49" i="30"/>
  <c r="L37" i="30"/>
  <c r="F37" i="30"/>
  <c r="E41" i="30" s="1"/>
  <c r="G33" i="30"/>
  <c r="L32" i="30"/>
  <c r="F24" i="30"/>
  <c r="F22" i="30"/>
  <c r="F20" i="30"/>
  <c r="F18" i="30"/>
  <c r="F16" i="30"/>
  <c r="F14" i="30"/>
  <c r="F12" i="30"/>
  <c r="F27" i="30" s="1"/>
  <c r="F39" i="30" s="1"/>
  <c r="G5" i="30" s="1"/>
  <c r="G4" i="30"/>
  <c r="E48" i="29"/>
  <c r="G4" i="29" s="1"/>
  <c r="E40" i="29"/>
  <c r="F36" i="29"/>
  <c r="G32" i="29"/>
  <c r="F22" i="29"/>
  <c r="F25" i="29" s="1"/>
  <c r="F38" i="29" s="1"/>
  <c r="G5" i="29" s="1"/>
  <c r="F20" i="29"/>
  <c r="F18" i="29"/>
  <c r="F16" i="29"/>
  <c r="F14" i="29"/>
  <c r="F12" i="29"/>
  <c r="E48" i="28"/>
  <c r="G4" i="28" s="1"/>
  <c r="F36" i="28"/>
  <c r="E40" i="28" s="1"/>
  <c r="G32" i="28"/>
  <c r="F22" i="28"/>
  <c r="F20" i="28"/>
  <c r="F18" i="28"/>
  <c r="F16" i="28"/>
  <c r="F14" i="28"/>
  <c r="F12" i="28"/>
  <c r="F25" i="28" s="1"/>
  <c r="F38" i="28" s="1"/>
  <c r="G5" i="28" s="1"/>
  <c r="E47" i="27"/>
  <c r="F35" i="27"/>
  <c r="E39" i="27" s="1"/>
  <c r="L33" i="27"/>
  <c r="L29" i="27"/>
  <c r="L22" i="27"/>
  <c r="F22" i="27"/>
  <c r="F20" i="27"/>
  <c r="F18" i="27"/>
  <c r="F16" i="27"/>
  <c r="F14" i="27"/>
  <c r="F12" i="27"/>
  <c r="G4" i="27"/>
  <c r="E47" i="26"/>
  <c r="G4" i="26" s="1"/>
  <c r="E39" i="26"/>
  <c r="L37" i="26"/>
  <c r="F35" i="26"/>
  <c r="L34" i="26"/>
  <c r="L31" i="26"/>
  <c r="L30" i="26"/>
  <c r="L26" i="26"/>
  <c r="L22" i="26"/>
  <c r="F22" i="26"/>
  <c r="F20" i="26"/>
  <c r="L19" i="26"/>
  <c r="F18" i="26"/>
  <c r="F16" i="26"/>
  <c r="F14" i="26"/>
  <c r="F12" i="26"/>
  <c r="E47" i="25"/>
  <c r="G4" i="25" s="1"/>
  <c r="E39" i="25"/>
  <c r="L37" i="25"/>
  <c r="F35" i="25"/>
  <c r="L34" i="25"/>
  <c r="L31" i="25"/>
  <c r="L30" i="25"/>
  <c r="L26" i="25"/>
  <c r="L22" i="25"/>
  <c r="F22" i="25"/>
  <c r="F20" i="25"/>
  <c r="F18" i="25"/>
  <c r="F16" i="25"/>
  <c r="F14" i="25"/>
  <c r="F12" i="25"/>
  <c r="E47" i="24"/>
  <c r="G4" i="24" s="1"/>
  <c r="E39" i="24"/>
  <c r="L37" i="24"/>
  <c r="F35" i="24"/>
  <c r="L34" i="24"/>
  <c r="L31" i="24"/>
  <c r="L30" i="24"/>
  <c r="F22" i="24"/>
  <c r="F20" i="24"/>
  <c r="F18" i="24"/>
  <c r="F16" i="24"/>
  <c r="F14" i="24"/>
  <c r="F12" i="24"/>
  <c r="F24" i="24" s="1"/>
  <c r="F37" i="24" s="1"/>
  <c r="G5" i="24" s="1"/>
  <c r="E45" i="22"/>
  <c r="L35" i="22"/>
  <c r="F33" i="22"/>
  <c r="E37" i="22" s="1"/>
  <c r="L32" i="22"/>
  <c r="L29" i="22"/>
  <c r="F20" i="22"/>
  <c r="F18" i="22"/>
  <c r="F16" i="22"/>
  <c r="F14" i="22"/>
  <c r="F23" i="22" s="1"/>
  <c r="F35" i="22" s="1"/>
  <c r="F12" i="22"/>
  <c r="G4" i="22"/>
  <c r="G23" i="22" s="1"/>
  <c r="E45" i="21"/>
  <c r="E37" i="21"/>
  <c r="F33" i="21"/>
  <c r="L29" i="21"/>
  <c r="F20" i="21"/>
  <c r="F18" i="21"/>
  <c r="F22" i="21" s="1"/>
  <c r="F35" i="21" s="1"/>
  <c r="G5" i="21" s="1"/>
  <c r="F16" i="21"/>
  <c r="F14" i="21"/>
  <c r="F12" i="21"/>
  <c r="G4" i="21"/>
  <c r="G35" i="21" s="1"/>
  <c r="E47" i="20"/>
  <c r="G4" i="20" s="1"/>
  <c r="G10" i="20" s="1"/>
  <c r="E39" i="20"/>
  <c r="F35" i="20"/>
  <c r="L33" i="20"/>
  <c r="F28" i="20"/>
  <c r="F27" i="20"/>
  <c r="F26" i="20"/>
  <c r="F25" i="20"/>
  <c r="F24" i="20"/>
  <c r="F23" i="20"/>
  <c r="F22" i="20"/>
  <c r="F21" i="20"/>
  <c r="F20" i="20"/>
  <c r="F29" i="20" s="1"/>
  <c r="F37" i="20" s="1"/>
  <c r="G5" i="20" s="1"/>
  <c r="F19" i="20"/>
  <c r="F18" i="20"/>
  <c r="F17" i="20"/>
  <c r="F16" i="20"/>
  <c r="F15" i="20"/>
  <c r="E48" i="19"/>
  <c r="F36" i="19"/>
  <c r="E40" i="19" s="1"/>
  <c r="M33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G10" i="19"/>
  <c r="G4" i="19"/>
  <c r="E46" i="18"/>
  <c r="E38" i="18"/>
  <c r="F36" i="18"/>
  <c r="F34" i="18"/>
  <c r="M31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27" i="18" s="1"/>
  <c r="G10" i="18"/>
  <c r="G27" i="18" s="1"/>
  <c r="G4" i="18"/>
  <c r="E51" i="17"/>
  <c r="G4" i="17" s="1"/>
  <c r="E43" i="17"/>
  <c r="F39" i="17"/>
  <c r="F25" i="17"/>
  <c r="F24" i="17"/>
  <c r="F23" i="17"/>
  <c r="F22" i="17"/>
  <c r="F21" i="17"/>
  <c r="F20" i="17"/>
  <c r="F19" i="17"/>
  <c r="F18" i="17"/>
  <c r="F17" i="17"/>
  <c r="F16" i="17"/>
  <c r="F15" i="17"/>
  <c r="E50" i="15"/>
  <c r="G4" i="15" s="1"/>
  <c r="G10" i="15" s="1"/>
  <c r="E42" i="15"/>
  <c r="F38" i="15"/>
  <c r="F24" i="15"/>
  <c r="F23" i="15"/>
  <c r="F22" i="15"/>
  <c r="F21" i="15"/>
  <c r="F20" i="15"/>
  <c r="F19" i="15"/>
  <c r="F18" i="15"/>
  <c r="F17" i="15"/>
  <c r="F16" i="15"/>
  <c r="F15" i="15"/>
  <c r="E48" i="14"/>
  <c r="F36" i="14"/>
  <c r="E40" i="14" s="1"/>
  <c r="F23" i="14"/>
  <c r="F22" i="14"/>
  <c r="F21" i="14"/>
  <c r="F20" i="14"/>
  <c r="F19" i="14"/>
  <c r="F18" i="14"/>
  <c r="F17" i="14"/>
  <c r="F16" i="14"/>
  <c r="F15" i="14"/>
  <c r="G4" i="14"/>
  <c r="G10" i="14" s="1"/>
  <c r="E48" i="12"/>
  <c r="H4" i="12" s="1"/>
  <c r="E40" i="12"/>
  <c r="G36" i="12"/>
  <c r="G22" i="12"/>
  <c r="G21" i="12"/>
  <c r="G24" i="12" s="1"/>
  <c r="G38" i="12" s="1"/>
  <c r="H5" i="12" s="1"/>
  <c r="G20" i="12"/>
  <c r="G19" i="12"/>
  <c r="G18" i="12"/>
  <c r="G17" i="12"/>
  <c r="G16" i="12"/>
  <c r="G15" i="12"/>
  <c r="E47" i="11"/>
  <c r="G35" i="11"/>
  <c r="E39" i="11" s="1"/>
  <c r="G21" i="11"/>
  <c r="G20" i="11"/>
  <c r="G19" i="11"/>
  <c r="G18" i="11"/>
  <c r="G17" i="11"/>
  <c r="G16" i="11"/>
  <c r="G15" i="11"/>
  <c r="G23" i="11" s="1"/>
  <c r="G37" i="11" s="1"/>
  <c r="H5" i="11" s="1"/>
  <c r="H4" i="11"/>
  <c r="H10" i="11" s="1"/>
  <c r="E46" i="9"/>
  <c r="E38" i="9"/>
  <c r="G34" i="9"/>
  <c r="G20" i="9"/>
  <c r="G19" i="9"/>
  <c r="G18" i="9"/>
  <c r="G17" i="9"/>
  <c r="G16" i="9"/>
  <c r="G15" i="9"/>
  <c r="H4" i="9"/>
  <c r="E44" i="7"/>
  <c r="G32" i="7"/>
  <c r="E36" i="7" s="1"/>
  <c r="G19" i="7"/>
  <c r="G21" i="7" s="1"/>
  <c r="G34" i="7" s="1"/>
  <c r="H5" i="7" s="1"/>
  <c r="H6" i="7" s="1"/>
  <c r="H7" i="7" s="1"/>
  <c r="G18" i="7"/>
  <c r="G17" i="7"/>
  <c r="G16" i="7"/>
  <c r="G15" i="7"/>
  <c r="H4" i="7"/>
  <c r="H10" i="7" s="1"/>
  <c r="E43" i="5"/>
  <c r="G31" i="5"/>
  <c r="E35" i="5" s="1"/>
  <c r="G20" i="5"/>
  <c r="G33" i="5" s="1"/>
  <c r="H5" i="5" s="1"/>
  <c r="H6" i="5" s="1"/>
  <c r="H7" i="5" s="1"/>
  <c r="G18" i="5"/>
  <c r="G17" i="5"/>
  <c r="G16" i="5"/>
  <c r="G15" i="5"/>
  <c r="H4" i="5"/>
  <c r="H10" i="5" s="1"/>
  <c r="E42" i="4"/>
  <c r="G30" i="4"/>
  <c r="E34" i="4" s="1"/>
  <c r="G19" i="4"/>
  <c r="G32" i="4" s="1"/>
  <c r="H5" i="4" s="1"/>
  <c r="G17" i="4"/>
  <c r="G16" i="4"/>
  <c r="G15" i="4"/>
  <c r="H4" i="4"/>
  <c r="E41" i="3"/>
  <c r="G29" i="3"/>
  <c r="E33" i="3" s="1"/>
  <c r="G16" i="3"/>
  <c r="G18" i="3" s="1"/>
  <c r="G31" i="3" s="1"/>
  <c r="H5" i="3" s="1"/>
  <c r="G15" i="3"/>
  <c r="H4" i="3"/>
  <c r="H10" i="3" s="1"/>
  <c r="E37" i="2"/>
  <c r="H4" i="2" s="1"/>
  <c r="E29" i="2"/>
  <c r="G25" i="2"/>
  <c r="G15" i="2"/>
  <c r="G18" i="2" s="1"/>
  <c r="G27" i="2" s="1"/>
  <c r="H5" i="2" s="1"/>
  <c r="E35" i="1"/>
  <c r="G25" i="1"/>
  <c r="H5" i="1" s="1"/>
  <c r="G23" i="1"/>
  <c r="E27" i="1" s="1"/>
  <c r="H4" i="1"/>
  <c r="H10" i="1" s="1"/>
  <c r="G39" i="57" l="1"/>
  <c r="G6" i="57"/>
  <c r="G7" i="57" s="1"/>
  <c r="G52" i="57"/>
  <c r="G39" i="56"/>
  <c r="G52" i="56"/>
  <c r="G6" i="56"/>
  <c r="G7" i="56" s="1"/>
  <c r="G35" i="22"/>
  <c r="G5" i="22"/>
  <c r="G45" i="43"/>
  <c r="G6" i="43"/>
  <c r="G7" i="43" s="1"/>
  <c r="G33" i="43"/>
  <c r="G6" i="15"/>
  <c r="G7" i="15" s="1"/>
  <c r="F46" i="45"/>
  <c r="G33" i="45"/>
  <c r="H20" i="5"/>
  <c r="H33" i="5"/>
  <c r="F25" i="15"/>
  <c r="F40" i="15" s="1"/>
  <c r="G5" i="15" s="1"/>
  <c r="G38" i="29"/>
  <c r="G25" i="29"/>
  <c r="G6" i="29"/>
  <c r="G7" i="29" s="1"/>
  <c r="G39" i="32"/>
  <c r="G27" i="32"/>
  <c r="G6" i="32"/>
  <c r="G7" i="32" s="1"/>
  <c r="G41" i="37"/>
  <c r="G29" i="37"/>
  <c r="G6" i="37"/>
  <c r="G7" i="37" s="1"/>
  <c r="G43" i="40"/>
  <c r="G6" i="40"/>
  <c r="G7" i="40" s="1"/>
  <c r="G31" i="40"/>
  <c r="G5" i="46"/>
  <c r="G48" i="46"/>
  <c r="G50" i="52"/>
  <c r="G5" i="52"/>
  <c r="G6" i="52" s="1"/>
  <c r="G7" i="52" s="1"/>
  <c r="G40" i="15"/>
  <c r="G25" i="15"/>
  <c r="G48" i="49"/>
  <c r="G35" i="49"/>
  <c r="G6" i="49"/>
  <c r="G7" i="49" s="1"/>
  <c r="G46" i="42"/>
  <c r="G6" i="42"/>
  <c r="G7" i="42" s="1"/>
  <c r="G33" i="42"/>
  <c r="G43" i="41"/>
  <c r="G6" i="41"/>
  <c r="G7" i="41" s="1"/>
  <c r="G31" i="41"/>
  <c r="G50" i="50"/>
  <c r="G5" i="50"/>
  <c r="H6" i="4"/>
  <c r="H7" i="4" s="1"/>
  <c r="H10" i="4"/>
  <c r="H34" i="7"/>
  <c r="H21" i="7"/>
  <c r="H6" i="12"/>
  <c r="H7" i="12" s="1"/>
  <c r="H10" i="12"/>
  <c r="G37" i="26"/>
  <c r="G6" i="26"/>
  <c r="G7" i="26" s="1"/>
  <c r="G27" i="30"/>
  <c r="G42" i="36"/>
  <c r="G29" i="36"/>
  <c r="G6" i="36"/>
  <c r="G7" i="36" s="1"/>
  <c r="G5" i="53"/>
  <c r="G6" i="53" s="1"/>
  <c r="G7" i="53" s="1"/>
  <c r="G50" i="53"/>
  <c r="G27" i="33"/>
  <c r="G39" i="33"/>
  <c r="G6" i="33"/>
  <c r="G7" i="33" s="1"/>
  <c r="G36" i="18"/>
  <c r="G5" i="18"/>
  <c r="G6" i="18" s="1"/>
  <c r="G7" i="18" s="1"/>
  <c r="H10" i="9"/>
  <c r="G28" i="19"/>
  <c r="G38" i="19"/>
  <c r="G6" i="24"/>
  <c r="G7" i="24" s="1"/>
  <c r="G37" i="24"/>
  <c r="F24" i="26"/>
  <c r="F37" i="26" s="1"/>
  <c r="G5" i="26" s="1"/>
  <c r="G40" i="31"/>
  <c r="G6" i="31"/>
  <c r="G7" i="31" s="1"/>
  <c r="G27" i="31"/>
  <c r="G41" i="35"/>
  <c r="G29" i="35"/>
  <c r="G6" i="35"/>
  <c r="G7" i="35" s="1"/>
  <c r="F45" i="39"/>
  <c r="G5" i="39" s="1"/>
  <c r="G31" i="39"/>
  <c r="G35" i="47"/>
  <c r="G29" i="20"/>
  <c r="G37" i="20"/>
  <c r="G6" i="28"/>
  <c r="G7" i="28" s="1"/>
  <c r="G38" i="28"/>
  <c r="G25" i="28"/>
  <c r="F26" i="17"/>
  <c r="F41" i="17" s="1"/>
  <c r="G5" i="17" s="1"/>
  <c r="G6" i="17" s="1"/>
  <c r="G7" i="17" s="1"/>
  <c r="G44" i="38"/>
  <c r="G6" i="38"/>
  <c r="G7" i="38" s="1"/>
  <c r="G31" i="38"/>
  <c r="H6" i="2"/>
  <c r="H7" i="2" s="1"/>
  <c r="H10" i="2"/>
  <c r="G22" i="9"/>
  <c r="G36" i="9" s="1"/>
  <c r="H5" i="9" s="1"/>
  <c r="H6" i="9" s="1"/>
  <c r="H7" i="9" s="1"/>
  <c r="F28" i="19"/>
  <c r="F38" i="19" s="1"/>
  <c r="G5" i="19" s="1"/>
  <c r="G6" i="19" s="1"/>
  <c r="G7" i="19" s="1"/>
  <c r="G6" i="20"/>
  <c r="G7" i="20" s="1"/>
  <c r="G24" i="24"/>
  <c r="F24" i="25"/>
  <c r="F37" i="25" s="1"/>
  <c r="G5" i="25" s="1"/>
  <c r="G6" i="25" s="1"/>
  <c r="G7" i="25" s="1"/>
  <c r="F25" i="27"/>
  <c r="F37" i="27" s="1"/>
  <c r="G5" i="27" s="1"/>
  <c r="G29" i="34"/>
  <c r="G42" i="34"/>
  <c r="G6" i="34"/>
  <c r="G7" i="34" s="1"/>
  <c r="G37" i="51"/>
  <c r="G6" i="51"/>
  <c r="G7" i="51" s="1"/>
  <c r="G50" i="51"/>
  <c r="G10" i="17"/>
  <c r="G6" i="46"/>
  <c r="G7" i="46" s="1"/>
  <c r="H16" i="1"/>
  <c r="H25" i="1"/>
  <c r="H31" i="3"/>
  <c r="H18" i="3"/>
  <c r="H23" i="11"/>
  <c r="H37" i="11"/>
  <c r="F24" i="14"/>
  <c r="F38" i="14" s="1"/>
  <c r="G5" i="14" s="1"/>
  <c r="G24" i="14"/>
  <c r="G46" i="44"/>
  <c r="G6" i="44"/>
  <c r="G7" i="44" s="1"/>
  <c r="G33" i="44"/>
  <c r="G35" i="48"/>
  <c r="G37" i="52"/>
  <c r="G52" i="54"/>
  <c r="G6" i="48"/>
  <c r="G7" i="48" s="1"/>
  <c r="G6" i="54"/>
  <c r="G7" i="54" s="1"/>
  <c r="G6" i="14"/>
  <c r="G7" i="14" s="1"/>
  <c r="G6" i="21"/>
  <c r="G7" i="21" s="1"/>
  <c r="G22" i="21"/>
  <c r="G6" i="27"/>
  <c r="G7" i="27" s="1"/>
  <c r="G6" i="30"/>
  <c r="G7" i="30" s="1"/>
  <c r="G39" i="30"/>
  <c r="H6" i="1"/>
  <c r="H7" i="1" s="1"/>
  <c r="H6" i="3"/>
  <c r="H7" i="3" s="1"/>
  <c r="H6" i="11"/>
  <c r="H7" i="11" s="1"/>
  <c r="G6" i="22"/>
  <c r="G7" i="22" s="1"/>
  <c r="G6" i="39"/>
  <c r="G7" i="39" s="1"/>
  <c r="G35" i="46"/>
  <c r="G48" i="47"/>
  <c r="G6" i="50"/>
  <c r="G7" i="50" s="1"/>
  <c r="G37" i="27"/>
  <c r="G48" i="48"/>
  <c r="G52" i="55"/>
  <c r="G26" i="17" l="1"/>
  <c r="G41" i="17"/>
  <c r="G38" i="14"/>
  <c r="G24" i="26"/>
  <c r="G45" i="39"/>
  <c r="H36" i="9"/>
  <c r="H22" i="9"/>
  <c r="H19" i="4"/>
  <c r="H32" i="4"/>
  <c r="G25" i="27"/>
  <c r="G37" i="25"/>
  <c r="G24" i="25"/>
  <c r="H27" i="2"/>
  <c r="H18" i="2"/>
  <c r="G46" i="45"/>
  <c r="G5" i="45"/>
  <c r="G6" i="45" s="1"/>
  <c r="G7" i="45" s="1"/>
  <c r="H38" i="12"/>
  <c r="H2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3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6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8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1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8" authorId="0" shapeId="0" xr:uid="{00000000-0006-0000-1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2" authorId="0" shapeId="0" xr:uid="{00000000-0006-0000-1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2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3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E0124989-6837-4BC1-B7C1-1163C759E40D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6A42793F-2817-4ADE-98CC-184299F341E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<sst xmlns="http://schemas.openxmlformats.org/spreadsheetml/2006/main" count="3507" uniqueCount="428">
  <si>
    <t>NO</t>
  </si>
  <si>
    <t>:</t>
  </si>
  <si>
    <t>01 - LK/2022/V/002</t>
  </si>
  <si>
    <t>LIMIT LK :</t>
  </si>
  <si>
    <t xml:space="preserve">PROJECT  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</si>
  <si>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</si>
  <si>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</si>
  <si>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</si>
  <si>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</si>
  <si>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</si>
  <si>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Persentasi :</t>
  </si>
  <si>
    <t>DESKRIPSI</t>
  </si>
  <si>
    <t>KREDIT</t>
  </si>
  <si>
    <t>DEBET</t>
  </si>
  <si>
    <t>SALDO</t>
  </si>
  <si>
    <t>Modal</t>
  </si>
  <si>
    <t>Modal awal Proyek</t>
  </si>
  <si>
    <t>LK (Terpakai)</t>
  </si>
  <si>
    <t>Saldo Terpakai Sebelumnya</t>
  </si>
  <si>
    <t>LK Reimburse (gantung/ berjalan)</t>
  </si>
  <si>
    <t>Tanggal</t>
  </si>
  <si>
    <t>Status</t>
  </si>
  <si>
    <t>LK (Periode) / Kasbon - nominal</t>
  </si>
  <si>
    <t>Out</t>
  </si>
  <si>
    <t>Kasbon 1 - 1.369.000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</si>
  <si>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</si>
  <si>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</si>
  <si>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</si>
  <si>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</si>
  <si>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</si>
  <si>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</si>
  <si>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</si>
  <si>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</si>
  <si>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</si>
  <si>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</si>
  <si>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</si>
  <si>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</si>
  <si>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</si>
  <si>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</si>
  <si>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</si>
  <si>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</si>
  <si>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</si>
  <si>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 xml:space="preserve">03 - LK/2022/VII/001 </t>
  </si>
  <si>
    <t>15 April 2022 - 14 Mei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</si>
  <si>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</si>
  <si>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</si>
  <si>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</si>
  <si>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</si>
  <si>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</si>
  <si>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</si>
  <si>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</t>
  </si>
  <si>
    <t xml:space="preserve">04 - LK/2022/VII/003 </t>
  </si>
  <si>
    <t>15 Mei 2022 - 14 Juni 2022</t>
  </si>
  <si>
    <t>LK.03 - LK/2022/VII/001 - 15 April 2022 - 14 Mei 2022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</si>
  <si>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</si>
  <si>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</si>
  <si>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</si>
  <si>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</si>
  <si>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</si>
  <si>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</si>
  <si>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</si>
  <si>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</si>
  <si>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</si>
  <si>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</si>
  <si>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</si>
  <si>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</si>
  <si>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</si>
  <si>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</si>
  <si>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</si>
  <si>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</si>
  <si>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</si>
  <si>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</si>
  <si>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</si>
  <si>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</si>
  <si>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>08 - LK/2022/VIII/004 (20 Juli 2022 - 02 August 2022)</t>
  </si>
  <si>
    <t>Kasbon 5 - 0</t>
  </si>
  <si>
    <t>Kasbon 6 - 17.964.054,08</t>
  </si>
  <si>
    <t xml:space="preserve">09 - LK/2022/IX/001 </t>
  </si>
  <si>
    <t>20 Juli 2022 - 20 Agustus 2022</t>
  </si>
  <si>
    <t>LK.08 - LK/2022/VIII/003 - 20 Juli 2022 - 02 Agustus 2022</t>
  </si>
  <si>
    <t>LK.09 - LK/2022/IX/001 - 20 Juli 2022 - 20 Agust 2022</t>
  </si>
  <si>
    <t>Kasbon 6 - 899,435,65</t>
  </si>
  <si>
    <t>10 - LK/2022/X/001</t>
  </si>
  <si>
    <t>07 Juli 2022 - 30 Agustus 2022</t>
  </si>
  <si>
    <t>LK.08 - LK/2022/VIII/003 - 13 Juli 2022 - 19 Juli 2022</t>
  </si>
  <si>
    <t>LK.10 - LK/2022/X/001 - 07 Juli 2022 - 30 Agust 2022</t>
  </si>
  <si>
    <t>Kasbon 6 - 0</t>
  </si>
  <si>
    <t>Kasbon 7 - 136,432,65</t>
  </si>
  <si>
    <t xml:space="preserve">11 - LK/2022/X/002 </t>
  </si>
  <si>
    <t>16 Agustus 2022 - 07 September 2022</t>
  </si>
  <si>
    <t>LK.11 - LK/2022/X/002 - 16 Agust 2022 - 07 Sept 2022</t>
  </si>
  <si>
    <t>Kasbon 7 - 0</t>
  </si>
  <si>
    <t>Kasbon 8 - 13.007.932,65</t>
  </si>
  <si>
    <t>12 - LK/2022/X/003</t>
  </si>
  <si>
    <t>02 September 2022 - 15 September 2022</t>
  </si>
  <si>
    <t>Stat</t>
  </si>
  <si>
    <t>LK.12 - LK/2022/X/002 - 03 Sept 2022 - 15 Sept 2022</t>
  </si>
  <si>
    <t>Kasbon 8 - 6.824.404,80</t>
  </si>
  <si>
    <t>13 - LK/2022/X/010</t>
  </si>
  <si>
    <t>15 Agustus 2022 - 29 September 2022</t>
  </si>
  <si>
    <t>LK.12 - LK/2022/X/003 - 02 Sept 2022 - 15 Sept 2022</t>
  </si>
  <si>
    <t>LK.13 - LK/2022/X/010 - 15 Agust 2022 - 29 Sept 2022</t>
  </si>
  <si>
    <t>Kasbon 8 - 0</t>
  </si>
  <si>
    <t>Kasbon 9 - 11.606.553,80</t>
  </si>
  <si>
    <t>14 - LK/2022/X/009</t>
  </si>
  <si>
    <t>16 September 2022 - 30 September 2022</t>
  </si>
  <si>
    <t>LK.14 - LK/2022/X/009 - 15 Agust 2022 - 29 Sept 2022</t>
  </si>
  <si>
    <t>Kasbon 9 - 0</t>
  </si>
  <si>
    <t>Kasbon 10 - 0</t>
  </si>
  <si>
    <t>Kasbon 11 - 12.788.454,25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</si>
  <si>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</si>
  <si>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</si>
  <si>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</si>
  <si>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</si>
  <si>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11 - 1.527.262,25</t>
  </si>
  <si>
    <t>16 - LK/2022/XI/005</t>
  </si>
  <si>
    <t>16 Oktober 2022 - 30 Oktober 2022</t>
  </si>
  <si>
    <t>No LK</t>
  </si>
  <si>
    <t>LK 01 - 04</t>
  </si>
  <si>
    <t>04 Mar s/d 14 Jun 2022</t>
  </si>
  <si>
    <t>(LK/2022/V/002, LK/2022/VI/002, LK/2022/VII/001, LK/2022/VII/003)</t>
  </si>
  <si>
    <t>LK 05 - 07</t>
  </si>
  <si>
    <t>15 Jun s/d 19 Jul 2022</t>
  </si>
  <si>
    <t>(LK/2022/VIII/001, LK/2022/VIII/002, LK/2022/VIII/003)</t>
  </si>
  <si>
    <t>LK 08 - 10</t>
  </si>
  <si>
    <t>20 Jul s/d - 30 Ags 2022</t>
  </si>
  <si>
    <t>(LK/2022/VIII/004, LK/2022/IX/001, LK/2022/X/003)</t>
  </si>
  <si>
    <t>LK 11 - 14</t>
  </si>
  <si>
    <t>16 Ags s/d 30 Sep 2022</t>
  </si>
  <si>
    <t>(LK/2022/X/002, LK/2022/X/003, LK/2022/X/010, LK/2022/X009)</t>
  </si>
  <si>
    <t>LK 15</t>
  </si>
  <si>
    <t>01 - 15 Okt 2022 (LK/2022/X/008)</t>
  </si>
  <si>
    <t>Modal Awal</t>
  </si>
  <si>
    <t>Kasbon (Terpakai/ Nominal)</t>
  </si>
  <si>
    <t>Debet</t>
  </si>
  <si>
    <t>Sisa Kasbon</t>
  </si>
  <si>
    <r>
      <rPr>
        <sz val="13"/>
        <rFont val="Comic Sans MS"/>
        <charset val="134"/>
      </rPr>
      <t>KB 1-10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114.500.000/ </t>
    </r>
    <r>
      <rPr>
        <sz val="13"/>
        <rFont val="Comic Sans MS"/>
        <charset val="134"/>
      </rPr>
      <t>114.500.000)</t>
    </r>
  </si>
  <si>
    <t>01-15 Okt</t>
  </si>
  <si>
    <r>
      <rPr>
        <sz val="13"/>
        <rFont val="Comic Sans MS"/>
        <charset val="134"/>
      </rPr>
      <t>KB 11 (</t>
    </r>
    <r>
      <rPr>
        <sz val="13"/>
        <color rgb="FFFF0000"/>
        <rFont val="Comic Sans MS"/>
        <charset val="134"/>
      </rPr>
      <t xml:space="preserve">12.472737,75/ </t>
    </r>
    <r>
      <rPr>
        <sz val="13"/>
        <rFont val="Comic Sans MS"/>
        <charset val="134"/>
      </rPr>
      <t>14.000.000)</t>
    </r>
  </si>
  <si>
    <t>16-31 Okt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</si>
  <si>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15.000.000)</t>
    </r>
  </si>
  <si>
    <t>LK Reimburse Saat Ini</t>
  </si>
  <si>
    <t>LK.16 - LK/2022/XI/005 - 15 Okt 2022 - 30 Okt 2022</t>
  </si>
  <si>
    <t>17 - LK/2022/XI/007</t>
  </si>
  <si>
    <t>20 Sept 2022 - 31 Oktober 2022</t>
  </si>
  <si>
    <t>LK 15 - 16</t>
  </si>
  <si>
    <t>01 Okt s/d 30 Okt 2022</t>
  </si>
  <si>
    <t>(LK/2022/XI/005, LK/2022/XI/005)</t>
  </si>
  <si>
    <r>
      <rPr>
        <sz val="13"/>
        <rFont val="Comic Sans MS"/>
        <charset val="134"/>
      </rPr>
      <t>KB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128.500.000/ </t>
    </r>
    <r>
      <rPr>
        <sz val="13"/>
        <rFont val="Comic Sans MS"/>
        <charset val="134"/>
      </rPr>
      <t>128.500.000)</t>
    </r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</si>
  <si>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6.150.071,75/ </t>
    </r>
    <r>
      <rPr>
        <sz val="13"/>
        <rFont val="Comic Sans MS"/>
        <charset val="134"/>
      </rPr>
      <t>15.000.000)</t>
    </r>
  </si>
  <si>
    <t>LK.17 - LK/2022/XI/007 - 20 Sep 2022 - 31 Okt 2022</t>
  </si>
  <si>
    <t>18 - LK/2022/XI/008</t>
  </si>
  <si>
    <t>01 November 2022 - 15 November 2022</t>
  </si>
  <si>
    <t>(LK/2022/XI/005, LK/2022/XI/007)</t>
  </si>
  <si>
    <t>LK 17</t>
  </si>
  <si>
    <t>20 Sep s/d 31 Okt 2022 (LK/2022/XI/007)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</si>
  <si>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12.691.071,75/ </t>
    </r>
    <r>
      <rPr>
        <sz val="13"/>
        <rFont val="Comic Sans MS"/>
        <charset val="134"/>
      </rPr>
      <t>15.000.000)</t>
    </r>
  </si>
  <si>
    <t>01-15 Nov</t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</si>
  <si>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17.000.000/ </t>
    </r>
    <r>
      <rPr>
        <sz val="13"/>
        <rFont val="Comic Sans MS"/>
        <charset val="134"/>
      </rPr>
      <t>17.000.000)</t>
    </r>
  </si>
  <si>
    <t>LK.18 - LK/2022/XI/007 - 01 Nov 2022 - 15 Nov 2022</t>
  </si>
  <si>
    <t>19 - LK/2022/XII/003</t>
  </si>
  <si>
    <t>21 September 2022 - 03 Desember 2022</t>
  </si>
  <si>
    <t>LK 15 - 17</t>
  </si>
  <si>
    <t>01 Okt s/d 15 Nov 2022</t>
  </si>
  <si>
    <t>(LK/2022/X/008, LK/2022/XI/005, LK/2022/XI/007)</t>
  </si>
  <si>
    <t>LK 19</t>
  </si>
  <si>
    <t>01 Nov s/d 15 Nov 2022 (LK/2022/XII/003)</t>
  </si>
  <si>
    <r>
      <rPr>
        <sz val="13"/>
        <rFont val="Comic Sans MS"/>
        <charset val="134"/>
      </rPr>
      <t>KB 1-12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143.500.000/ </t>
    </r>
    <r>
      <rPr>
        <sz val="13"/>
        <rFont val="Comic Sans MS"/>
        <charset val="134"/>
      </rPr>
      <t>143.500.000)</t>
    </r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</si>
  <si>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13.581.171,75/ </t>
    </r>
    <r>
      <rPr>
        <sz val="13"/>
        <rFont val="Comic Sans MS"/>
        <charset val="134"/>
      </rPr>
      <t>17.000.000)</t>
    </r>
  </si>
  <si>
    <t>15-30 Nov</t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</si>
  <si>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14.000.000)</t>
    </r>
  </si>
  <si>
    <t>LK.19 - LK/2022/XIII/003 - 21 Sep 2022 - 03 Des 2022</t>
  </si>
  <si>
    <t>20 - LK/2023/I/001</t>
  </si>
  <si>
    <t>01 Desember 2022 - 15 Desember 2022</t>
  </si>
  <si>
    <t>LK 15 - 18</t>
  </si>
  <si>
    <t>(LK/2022/X/008, LK/2022/XI/005, LK/2022/XI/007, LK/2022/XI/008)</t>
  </si>
  <si>
    <t>21 Sep s/d 03 Des 2022 (LK/2022/XII/003)</t>
  </si>
  <si>
    <r>
      <rPr>
        <sz val="13"/>
        <rFont val="Comic Sans MS"/>
        <charset val="134"/>
      </rPr>
      <t>KB 1-13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160.500.000/ </t>
    </r>
    <r>
      <rPr>
        <sz val="13"/>
        <rFont val="Comic Sans MS"/>
        <charset val="134"/>
      </rPr>
      <t>160.500.000)</t>
    </r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</si>
  <si>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7.366.271,75/ </t>
    </r>
    <r>
      <rPr>
        <sz val="13"/>
        <rFont val="Comic Sans MS"/>
        <charset val="134"/>
      </rPr>
      <t>14.000.000)</t>
    </r>
  </si>
  <si>
    <t>01-15 Des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</si>
  <si>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</si>
  <si>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LK.20 - LK/2023/I/002 - 01 Des 2022 - 15 Des 2022</t>
  </si>
  <si>
    <t>21 - LK/2023/I/002</t>
  </si>
  <si>
    <t>15 Desember 2022 - 31 Desember 2022</t>
  </si>
  <si>
    <t>LK 19 - 20</t>
  </si>
  <si>
    <t xml:space="preserve">21 Sep s/d 15 Des 2022 </t>
  </si>
  <si>
    <t>(LK/2022/XII/003, LK/2023/I/001)</t>
  </si>
  <si>
    <r>
      <rPr>
        <sz val="13"/>
        <rFont val="Comic Sans MS"/>
        <charset val="134"/>
      </rPr>
      <t>KB 1-14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174.500.000/ </t>
    </r>
    <r>
      <rPr>
        <sz val="13"/>
        <rFont val="Comic Sans MS"/>
        <charset val="134"/>
      </rPr>
      <t>174.500.000)</t>
    </r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</si>
  <si>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2.958.946,75/ </t>
    </r>
    <r>
      <rPr>
        <sz val="13"/>
        <rFont val="Comic Sans MS"/>
        <charset val="134"/>
      </rPr>
      <t>18.000.000)</t>
    </r>
  </si>
  <si>
    <t>LK.21 - LK/2023/I/002 - 15 Des 2022 - 31 Des 2022</t>
  </si>
  <si>
    <t>22 - LK/2023/I/003</t>
  </si>
  <si>
    <t>01 Desember 2022 - 08 Januari 2023</t>
  </si>
  <si>
    <t>LK 19 - 21</t>
  </si>
  <si>
    <t xml:space="preserve">21 Sep s/d 31 Des 2022 </t>
  </si>
  <si>
    <t>(LK/2022/XII/003, LK/2023/I/001, LK/2023/I/002)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</si>
  <si>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14.509.106,75/ </t>
    </r>
    <r>
      <rPr>
        <sz val="13"/>
        <rFont val="Comic Sans MS"/>
        <charset val="134"/>
      </rPr>
      <t>18.000.000)</t>
    </r>
  </si>
  <si>
    <t>15-31 Des</t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</si>
  <si>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</si>
  <si>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LK.22 - LK/2023/I/003 - 01 Des 2022 - 08 Jan 2023</t>
  </si>
  <si>
    <t>23 - LK/2023/II/001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</si>
  <si>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</si>
  <si>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</si>
  <si>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</si>
  <si>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</si>
  <si>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192.500.000/ </t>
    </r>
    <r>
      <rPr>
        <sz val="13"/>
        <rFont val="Comic Sans MS"/>
        <charset val="134"/>
      </rPr>
      <t>192.500.000)</t>
    </r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</si>
  <si>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6.072.956,75/ </t>
    </r>
    <r>
      <rPr>
        <sz val="13"/>
        <rFont val="Comic Sans MS"/>
        <charset val="134"/>
      </rPr>
      <t>13.000.000)</t>
    </r>
  </si>
  <si>
    <t>01-15 Jan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</si>
  <si>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</si>
  <si>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LK.23 - LK/2023/II/001 - 21 Des 2022 - 15 Jan 2023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</si>
  <si>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</si>
  <si>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</si>
  <si>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</si>
  <si>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</si>
  <si>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</si>
  <si>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</si>
  <si>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3.866.346,75/ </t>
    </r>
    <r>
      <rPr>
        <sz val="13"/>
        <rFont val="Comic Sans MS"/>
        <charset val="134"/>
      </rPr>
      <t>11.000.000)</t>
    </r>
  </si>
  <si>
    <t>LK.24 - LK/2023/II/002 - 16 Jan - 24 Jan 2023</t>
  </si>
  <si>
    <t>25 - LK/2023/III/001</t>
  </si>
  <si>
    <t>23 December 2022 - 31 Januari 2023</t>
  </si>
  <si>
    <t>LK 23 - 24</t>
  </si>
  <si>
    <t xml:space="preserve">21 Des 2022 s/d 31 Jan 2023 </t>
  </si>
  <si>
    <t>(LK/2023/II/001, LK/2023/II/002)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</si>
  <si>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8.491.846,75/ </t>
    </r>
    <r>
      <rPr>
        <sz val="13"/>
        <rFont val="Comic Sans MS"/>
        <charset val="134"/>
      </rPr>
      <t>11.000.000)</t>
    </r>
  </si>
  <si>
    <t>16-31 Jan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</si>
  <si>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</si>
  <si>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LK.25 - LK/2023/III/001 - 23 Dec 2022 - 31 Jan 2023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</si>
  <si>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</si>
  <si>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</si>
  <si>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</si>
  <si>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</si>
  <si>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</si>
  <si>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234.500.000/ </t>
    </r>
    <r>
      <rPr>
        <sz val="13"/>
        <rFont val="Comic Sans MS"/>
        <charset val="134"/>
      </rPr>
      <t>234.500.000)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</si>
  <si>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3.191.882,75/ </t>
    </r>
    <r>
      <rPr>
        <sz val="13"/>
        <rFont val="Comic Sans MS"/>
        <charset val="134"/>
      </rPr>
      <t>18.000.000)</t>
    </r>
  </si>
  <si>
    <t>LK.26 - LK/2023/III/003 - 01 Feb - 16 Feb 2023</t>
  </si>
  <si>
    <t>27 - LK/2023/III/009</t>
  </si>
  <si>
    <t>01 Februari 2023 - 28 Februari 2023</t>
  </si>
  <si>
    <t>LK 23 - 26</t>
  </si>
  <si>
    <t xml:space="preserve">21 Des 2022 s/d 28 Feb 2023 </t>
  </si>
  <si>
    <t>(LK/2023/II/001, LK/2023/II/002, LK/2023/III/001, LK/2023/III/003)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</si>
  <si>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216.500.000/ </t>
    </r>
    <r>
      <rPr>
        <sz val="13"/>
        <rFont val="Comic Sans MS"/>
        <charset val="134"/>
      </rPr>
      <t>216.500.000)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</si>
  <si>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8.516.332,75/ </t>
    </r>
    <r>
      <rPr>
        <sz val="13"/>
        <rFont val="Comic Sans MS"/>
        <charset val="134"/>
      </rPr>
      <t>18.000.000)</t>
    </r>
  </si>
  <si>
    <t>LK.27 - LK/2023/III/009 - 01 Feb - 28 Feb 2023</t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</si>
  <si>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</si>
  <si>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</si>
  <si>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</si>
  <si>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</si>
  <si>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</si>
  <si>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14.935.632,75/ </t>
    </r>
    <r>
      <rPr>
        <sz val="13"/>
        <rFont val="Comic Sans MS"/>
        <charset val="134"/>
      </rPr>
      <t>18.000.000)</t>
    </r>
  </si>
  <si>
    <t>01-15 Feb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</si>
  <si>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</si>
  <si>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LK.28 - LK/2023/III/014 - 09 Jan - 25 Feb 2023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</si>
  <si>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</si>
  <si>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</si>
  <si>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</si>
  <si>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</si>
  <si>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</si>
  <si>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</si>
  <si>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5.767.682,75/ </t>
    </r>
    <r>
      <rPr>
        <sz val="13"/>
        <rFont val="Comic Sans MS"/>
        <charset val="134"/>
      </rPr>
      <t>13.000.000)</t>
    </r>
  </si>
  <si>
    <t>LK.29 - LK/2023/III/015 - 01 Mar - 15 Mar 2023</t>
  </si>
  <si>
    <t>30 - LK/2023/III/016</t>
  </si>
  <si>
    <t>16 Maret 2023 - 29 Maret 2023</t>
  </si>
  <si>
    <t>LK 27 - 29</t>
  </si>
  <si>
    <t xml:space="preserve">09 Jan 2023 s/d 15 Mar 2023 </t>
  </si>
  <si>
    <t>(LK/2023/III/009, LK/2023/III/014, LK/2023/III/015)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</si>
  <si>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11.010.682,75/ </t>
    </r>
    <r>
      <rPr>
        <sz val="13"/>
        <rFont val="Comic Sans MS"/>
        <charset val="134"/>
      </rPr>
      <t>13.000.000)</t>
    </r>
  </si>
  <si>
    <t>15-28 Feb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</si>
  <si>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</si>
  <si>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LK.30 - LK/2023/III/016 - 16 Mar - 29 Mar 2023</t>
  </si>
  <si>
    <t>31 - LK/2023/V/001</t>
  </si>
  <si>
    <t>10 Maret 2023 - 18 April 2023</t>
  </si>
  <si>
    <t>LK 27 - 30</t>
  </si>
  <si>
    <t xml:space="preserve">09 Jan 2023 s/d 29 Mar 2023 </t>
  </si>
  <si>
    <t>(LK/2023/III/009, LK/2023/III/014, LK/2023/III/015, LK/2023/III/016)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</si>
  <si>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218.500.000/ </t>
    </r>
    <r>
      <rPr>
        <sz val="13"/>
        <rFont val="Comic Sans MS"/>
        <charset val="134"/>
      </rPr>
      <t>218.500.000)</t>
    </r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</si>
  <si>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2.196.882,75/ </t>
    </r>
    <r>
      <rPr>
        <sz val="13"/>
        <rFont val="Comic Sans MS"/>
        <charset val="134"/>
      </rPr>
      <t>11.000.000)</t>
    </r>
  </si>
  <si>
    <t>LK.31 - LK/2023/V/001 - 10 Mar - 18 Apr 2023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</si>
  <si>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</si>
  <si>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</si>
  <si>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</si>
  <si>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</si>
  <si>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</si>
  <si>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10.240.882,75/ </t>
    </r>
    <r>
      <rPr>
        <sz val="13"/>
        <rFont val="Comic Sans MS"/>
        <charset val="134"/>
      </rPr>
      <t>11.000.000)</t>
    </r>
  </si>
  <si>
    <t>01-15 Mar</t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</si>
  <si>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12.000.000)</t>
    </r>
  </si>
  <si>
    <t>LK.32 - LK/2023/V/002 - 08 Feb - 08 Apr 2023</t>
  </si>
  <si>
    <t>33 - LK/2023/V/005</t>
  </si>
  <si>
    <t>11 April 2023 - 30 April 2023</t>
  </si>
  <si>
    <t>LK 31 - 32</t>
  </si>
  <si>
    <t xml:space="preserve">08 Feb 2023 s/d 18 Apr 2023 </t>
  </si>
  <si>
    <t>(LK/2023/V/001, LK/2023/V/002)</t>
  </si>
  <si>
    <r>
      <rPr>
        <sz val="13"/>
        <rFont val="Comic Sans MS"/>
        <charset val="134"/>
      </rPr>
      <t>KB 1-20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242.500.000/ </t>
    </r>
    <r>
      <rPr>
        <sz val="13"/>
        <rFont val="Comic Sans MS"/>
        <charset val="134"/>
      </rPr>
      <t>242.500.000)</t>
    </r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</si>
  <si>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10.560.182,75/ </t>
    </r>
    <r>
      <rPr>
        <sz val="13"/>
        <rFont val="Comic Sans MS"/>
        <charset val="134"/>
      </rPr>
      <t>12.000.000)</t>
    </r>
  </si>
  <si>
    <t>16-31 Mar</t>
  </si>
  <si>
    <r>
      <rPr>
        <sz val="13"/>
        <rFont val="Comic Sans MS"/>
        <charset val="134"/>
      </rPr>
      <t>KB 22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8.000.000)</t>
    </r>
  </si>
  <si>
    <t>01-15 Apr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</si>
  <si>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</si>
  <si>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LK.33 - LK/2023/V/005 - 11 Apr - 30 Apr 2023</t>
  </si>
  <si>
    <t>34 - LK/2023/V/006</t>
  </si>
  <si>
    <t>02 Mei 2023 - 11 Mei 2023</t>
  </si>
  <si>
    <t>LK 31 - 33</t>
  </si>
  <si>
    <t xml:space="preserve">08 Feb 2023 s/d 30 Apr 2023 </t>
  </si>
  <si>
    <t>(LK/2023/V/001, LK/2023/V/002, LK/2023/V/005)</t>
  </si>
  <si>
    <r>
      <rPr>
        <sz val="13"/>
        <rFont val="Comic Sans MS"/>
        <charset val="134"/>
      </rPr>
      <t>KB 1-22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262.500.000/ </t>
    </r>
    <r>
      <rPr>
        <sz val="13"/>
        <rFont val="Comic Sans MS"/>
        <charset val="134"/>
      </rPr>
      <t>262.500.000)</t>
    </r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</si>
  <si>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3.730.182,75/ </t>
    </r>
    <r>
      <rPr>
        <sz val="13"/>
        <rFont val="Comic Sans MS"/>
        <charset val="134"/>
      </rPr>
      <t>20.000.000)</t>
    </r>
  </si>
  <si>
    <t>LK.34 - LK/2023/V/006 - 02 Mei - 11 Mei 2023</t>
  </si>
  <si>
    <t>35 - LK/2023/IV/001</t>
  </si>
  <si>
    <t>01 Mar 2023 - 25 Mar 2023</t>
  </si>
  <si>
    <t>LK 31 - 34</t>
  </si>
  <si>
    <t xml:space="preserve">08 Feb 2023 s/d 11 Mei 2023 </t>
  </si>
  <si>
    <t>(LK/2023/V/001, LK/2023/V/002, LK/2023/V/005, LK/2023/V/006)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</si>
  <si>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8.340.682,75/ </t>
    </r>
    <r>
      <rPr>
        <sz val="13"/>
        <rFont val="Comic Sans MS"/>
        <charset val="134"/>
      </rPr>
      <t>20.000.000)</t>
    </r>
  </si>
  <si>
    <t>LK.35 - LK/2023/IV/001 - 01 Mar - 25 Mar 2023</t>
  </si>
  <si>
    <t>36 - LK/2023/V/007</t>
  </si>
  <si>
    <t>24 Mar 2023 - 07 Mei 2023</t>
  </si>
  <si>
    <t>LK 35</t>
  </si>
  <si>
    <t xml:space="preserve">01 Mar 2023 s/d 25 Mar 2023 </t>
  </si>
  <si>
    <t>(LK/2023/IV/001)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</si>
  <si>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10.762.682,75/ </t>
    </r>
    <r>
      <rPr>
        <sz val="13"/>
        <rFont val="Comic Sans MS"/>
        <charset val="134"/>
      </rPr>
      <t>20.000.000)</t>
    </r>
  </si>
  <si>
    <t>16/04-30/05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</si>
  <si>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</si>
  <si>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LK.36 - LK/2023/V/007 - 24 Mar - 07 Mei 2023</t>
  </si>
  <si>
    <t>37 - LK/2023/V/013</t>
  </si>
  <si>
    <t>20 Apr 2023 - 17 Mei 2023</t>
  </si>
  <si>
    <t>LK 35 - 36</t>
  </si>
  <si>
    <t xml:space="preserve">01 Mar 2023 s/d 07 Mei 2023 </t>
  </si>
  <si>
    <t>(LK/2023/V/001, LK/2023/V/007)</t>
  </si>
  <si>
    <r>
      <rPr>
        <sz val="13"/>
        <rFont val="Comic Sans MS"/>
        <charset val="134"/>
      </rPr>
      <t>KB 1-23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282.500.000/ </t>
    </r>
    <r>
      <rPr>
        <sz val="13"/>
        <rFont val="Comic Sans MS"/>
        <charset val="134"/>
      </rPr>
      <t>282.500.000)</t>
    </r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</si>
  <si>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577.882,75/ </t>
    </r>
    <r>
      <rPr>
        <sz val="13"/>
        <rFont val="Comic Sans MS"/>
        <charset val="134"/>
      </rPr>
      <t>11.000.000)</t>
    </r>
  </si>
  <si>
    <t>LK.37 - LK/2023/V/013 - 20 Apr - 17 Mei 2023</t>
  </si>
  <si>
    <t>38 - LK/2023/VI/001</t>
  </si>
  <si>
    <t>13 Mei 2023 - 31 Mei 2023</t>
  </si>
  <si>
    <t>LK 35 - 37</t>
  </si>
  <si>
    <t xml:space="preserve">01 Mar 2023 s/d 17 Mei 2023 </t>
  </si>
  <si>
    <t>(LK/2023/V/001, LK/2023/V/007, LK/2023/V/013)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</si>
  <si>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9.188.282,75/ </t>
    </r>
    <r>
      <rPr>
        <sz val="13"/>
        <rFont val="Comic Sans MS"/>
        <charset val="134"/>
      </rPr>
      <t>11.000.000)</t>
    </r>
  </si>
  <si>
    <t>01 - 16/ 06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</si>
  <si>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9.000.000)</t>
    </r>
  </si>
  <si>
    <t>LK.38 - LK/2023/VI/001 - 13 Mei - 31 Mei 2023</t>
  </si>
  <si>
    <t>39 - LK/2023/VI/006</t>
  </si>
  <si>
    <t>30 Apr 2023 - 01 Jun 2023</t>
  </si>
  <si>
    <t>LK 35 - 38</t>
  </si>
  <si>
    <t xml:space="preserve">01 Mar 2023 s/d 31 Mei 2023 </t>
  </si>
  <si>
    <t>(LK/2023/V/001, LK/2023/V/007, LK/2023/V/013, LK/2023/VI/001)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</si>
  <si>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293.500.000/ </t>
    </r>
    <r>
      <rPr>
        <sz val="13"/>
        <rFont val="Comic Sans MS"/>
        <charset val="134"/>
      </rPr>
      <t>293.500.000)</t>
    </r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</si>
  <si>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3.162.082,75/ </t>
    </r>
    <r>
      <rPr>
        <sz val="13"/>
        <rFont val="Comic Sans MS"/>
        <charset val="134"/>
      </rPr>
      <t>9.000.000)</t>
    </r>
  </si>
  <si>
    <t>LK.39 - LK/2023/VI/006 - 30 Apr - 01 Jun 2023</t>
  </si>
  <si>
    <t>40 - LK/2023/VI/007</t>
  </si>
  <si>
    <t>10 Mei 2023 - 13 Jun 2023</t>
  </si>
  <si>
    <t>LK 39</t>
  </si>
  <si>
    <t xml:space="preserve">30 Apr 2023 s/d 01 Jun 2023 </t>
  </si>
  <si>
    <t>(LK/2023/VI/006)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</si>
  <si>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7.241.432,75/ </t>
    </r>
    <r>
      <rPr>
        <sz val="13"/>
        <rFont val="Comic Sans MS"/>
        <charset val="134"/>
      </rPr>
      <t>9.000.000)</t>
    </r>
  </si>
  <si>
    <t>16 – 30/06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</si>
  <si>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16.000.000)</t>
    </r>
  </si>
  <si>
    <t>LK.40 - LK/2023/VI/007 - 10 Mei - 13 Jun 2023</t>
  </si>
  <si>
    <t>41 - LK/2023/VII/003</t>
  </si>
  <si>
    <t>10 Mei 2023 - 20 Jun 2023</t>
  </si>
  <si>
    <t>LK 39 - 40</t>
  </si>
  <si>
    <t>(LK/2023/VI/006, LK/2023/VI/007)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</si>
  <si>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302.500.000/ </t>
    </r>
    <r>
      <rPr>
        <sz val="13"/>
        <rFont val="Comic Sans MS"/>
        <charset val="134"/>
      </rPr>
      <t>302.500.000)</t>
    </r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</si>
  <si>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2.449.432,75/ </t>
    </r>
    <r>
      <rPr>
        <sz val="13"/>
        <rFont val="Comic Sans MS"/>
        <charset val="134"/>
      </rPr>
      <t>16.000.000)</t>
    </r>
  </si>
  <si>
    <t>LK.41 - LK/2023/VII/003 - 10 Mei - 20 Jun 2023</t>
  </si>
  <si>
    <t>42 - LK/2023/VII/004</t>
  </si>
  <si>
    <t>05 Jun 2023 - 24 Jun 2023</t>
  </si>
  <si>
    <t>LK 39 - 41</t>
  </si>
  <si>
    <t>(LK/2023/VI/006, LK/2023/VI/007, LK/2023/VII/003)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</si>
  <si>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9.433.732,75/ </t>
    </r>
    <r>
      <rPr>
        <sz val="13"/>
        <rFont val="Comic Sans MS"/>
        <charset val="134"/>
      </rPr>
      <t>16.000.000)</t>
    </r>
  </si>
  <si>
    <t>LK.42 - LK/2023/VII/004 - 05 Jun - 24 Jun 2023</t>
  </si>
  <si>
    <t>43 - LK/2023/VII/007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</si>
  <si>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</si>
  <si>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</si>
  <si>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</si>
  <si>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318.500.000/ </t>
    </r>
    <r>
      <rPr>
        <sz val="13"/>
        <rFont val="Comic Sans MS"/>
        <charset val="134"/>
      </rPr>
      <t>318.500.000)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</si>
  <si>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 xml:space="preserve">8.000.000/ </t>
    </r>
    <r>
      <rPr>
        <sz val="13"/>
        <rFont val="Comic Sans MS"/>
        <charset val="134"/>
      </rPr>
      <t>8.000.000)</t>
    </r>
  </si>
  <si>
    <t>LK.43 - LK/2023/VII/007 - 21 Jun - 20 Jul 2023</t>
  </si>
  <si>
    <t>44 - LK/2023/VIII/002</t>
  </si>
  <si>
    <t>16 Jul 2023 - 31 Jul 2023</t>
  </si>
  <si>
    <t>LK 43</t>
  </si>
  <si>
    <t xml:space="preserve">21 Jun 2023 s/d 20 Jul 2023 </t>
  </si>
  <si>
    <t>(LK/2023/VII/007)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</si>
  <si>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326.500.000/ </t>
    </r>
    <r>
      <rPr>
        <sz val="13"/>
        <rFont val="Comic Sans MS"/>
        <charset val="134"/>
      </rPr>
      <t>326.500.000)</t>
    </r>
  </si>
  <si>
    <t>LK.44 - LK/2023/VIII/002 - 16 Jul - 31 Jul 2023</t>
  </si>
  <si>
    <t>45 - LK/2023/VIII/004</t>
  </si>
  <si>
    <t>17 Jul 2023 - 22 Ags 2023</t>
  </si>
  <si>
    <t>LK 43 - 44</t>
  </si>
  <si>
    <t xml:space="preserve">21 Jun 2023 s/d 31 Jul 2023 </t>
  </si>
  <si>
    <t>(LK/2023/VII/007, LK/2023/VIII/002)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</si>
  <si>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351.500.000/ </t>
    </r>
    <r>
      <rPr>
        <sz val="13"/>
        <rFont val="Comic Sans MS"/>
        <charset val="134"/>
      </rPr>
      <t>351.500.000)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</si>
  <si>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0</t>
    </r>
    <r>
      <rPr>
        <sz val="13"/>
        <rFont val="Comic Sans MS"/>
        <charset val="134"/>
      </rPr>
      <t>/9.000.000)</t>
    </r>
  </si>
  <si>
    <t>LK.45 - LK/2023/VIII/004 - 17 Jul - 22 Ags 2023</t>
  </si>
  <si>
    <t>46 - LK/2023/IX/001</t>
  </si>
  <si>
    <t>10 Jul 2023 - 22 Ags 2023</t>
  </si>
  <si>
    <t>LK 43 - 45</t>
  </si>
  <si>
    <t xml:space="preserve">21 Jun 2023 s/d 22 Ags 2023 </t>
  </si>
  <si>
    <t>(LK/2023/VII/007, LK/2023/VIII/002, LK/2023/VIII/004)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</si>
  <si>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3.865.000</t>
    </r>
    <r>
      <rPr>
        <sz val="13"/>
        <rFont val="Comic Sans MS"/>
        <charset val="134"/>
      </rPr>
      <t>/9.000.000)</t>
    </r>
  </si>
  <si>
    <t>LK.46 - LK/2023/IX/001 - 10 Jul - 22 Ags 2023</t>
  </si>
  <si>
    <t>47 - LK/2023/X/002</t>
  </si>
  <si>
    <t>15 Ags 2023 - 29 Sep 2023</t>
  </si>
  <si>
    <t>LK 43 - 46</t>
  </si>
  <si>
    <t>(LK/2023/VII/007, LK/2023/VIII/002, LK/2023/VIII/004, LK/2023/IX/001)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</si>
  <si>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8.899.200</t>
    </r>
    <r>
      <rPr>
        <sz val="13"/>
        <rFont val="Comic Sans MS"/>
        <charset val="134"/>
      </rPr>
      <t>/9.000.000)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</si>
  <si>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>3.050.225</t>
    </r>
    <r>
      <rPr>
        <sz val="13"/>
        <rFont val="Comic Sans MS"/>
        <charset val="134"/>
      </rPr>
      <t>/7.000.000)</t>
    </r>
  </si>
  <si>
    <t>LK.47 - LK/2023/X/002 - 15 Ags - 29 Sep 2023</t>
  </si>
  <si>
    <t>48 - LK/2023/X/003</t>
  </si>
  <si>
    <t>09 Sep 2023 - 18 Okt 2023</t>
  </si>
  <si>
    <t>LK 47</t>
  </si>
  <si>
    <t xml:space="preserve">15 Ags 2023 s/d 29 Sep 2023 </t>
  </si>
  <si>
    <t>(LK/2023/X/002)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</si>
  <si>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360.500.000/ </t>
    </r>
    <r>
      <rPr>
        <sz val="13"/>
        <rFont val="Comic Sans MS"/>
        <charset val="134"/>
      </rPr>
      <t>360.500.000)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</si>
  <si>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7.000.000</t>
    </r>
    <r>
      <rPr>
        <sz val="13"/>
        <rFont val="Comic Sans MS"/>
        <charset val="134"/>
      </rPr>
      <t>/9.000.000)</t>
    </r>
  </si>
  <si>
    <t>LK.48 - LK/2023/X/003 - 09 Sep - 18 Okt 2023</t>
  </si>
  <si>
    <t>49 - LK/2023/XII/001</t>
  </si>
  <si>
    <t>18 Okt 2023 - 29 Nov 2023</t>
  </si>
  <si>
    <t>LK 47 - 48</t>
  </si>
  <si>
    <t>(LK/2023/X/002, LK/2023/X/003)</t>
  </si>
  <si>
    <r>
      <t>KB 1-28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369.500.000/ </t>
    </r>
    <r>
      <rPr>
        <sz val="13"/>
        <rFont val="Comic Sans MS"/>
        <charset val="134"/>
      </rPr>
      <t>369.500.000)</t>
    </r>
  </si>
  <si>
    <t>LK.49 - LK/2023/XII/003 - 18 Okt - 29 Nov 2023</t>
  </si>
  <si>
    <t>LK 47 - 49</t>
  </si>
  <si>
    <t>(LK/2023/X/002, LK/2023/X/003, LK/2023/XII/001)</t>
  </si>
  <si>
    <t>50 - LK/2024/I/001</t>
  </si>
  <si>
    <t>28 Jan 2023 - 27 Nov 2023</t>
  </si>
  <si>
    <t>LK.50 - LK/2024/I/001 - 28 Jan - 27 Nov 2023</t>
  </si>
  <si>
    <t>LK 47 - 50</t>
  </si>
  <si>
    <t>(LK/2023/X/002, LK/2023/X/003, LK/2023/XII/001, LK/2024/I/001)</t>
  </si>
  <si>
    <t>28 Nov 2023 - 21 Des 2023</t>
  </si>
  <si>
    <t>51 - LK/2024/I/002</t>
  </si>
  <si>
    <t>LK.51 - LK/2024/I/002 - 28 Nov - 21 Des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</si>
</sst>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5" formatCode="_-* #,##0.00_-;\-* #,##0.00_-;_-* &quot;-&quot;_-;_-@_-"/>
    <numFmt numFmtId="166" formatCode="_-&quot;Rp&quot;* #,##0.00_-;\-&quot;Rp&quot;* #,##0.00"/>
    <numFmt numFmtId="167" formatCode="&quot;Rp&quot;#,##0.00"/>
  </numFmts>
  <fonts count="45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b/>
      <sz val="13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u/>
      <sz val="13"/>
      <color rgb="FFFF0000"/>
      <name val="Comic Sans MS"/>
      <charset val="134"/>
    </font>
    <font>
      <b/>
      <sz val="13"/>
      <color indexed="10"/>
      <name val="Comic Sans MS"/>
      <charset val="134"/>
    </font>
    <font>
      <b/>
      <strike/>
      <sz val="13"/>
      <color indexed="10"/>
      <name val="Comic Sans MS"/>
      <charset val="134"/>
    </font>
    <font>
      <sz val="13"/>
      <color rgb="FF0000FF"/>
      <name val="Comic Sans MS"/>
      <charset val="134"/>
    </font>
    <font>
      <u/>
      <sz val="12"/>
      <color rgb="FFFF0000"/>
      <name val="Comic Sans MS"/>
      <charset val="134"/>
    </font>
    <font>
      <u/>
      <sz val="12"/>
      <color theme="1"/>
      <name val="Comic Sans MS"/>
      <charset val="134"/>
    </font>
    <font>
      <u/>
      <sz val="12"/>
      <color rgb="FF0000FF"/>
      <name val="Comic Sans MS"/>
      <charset val="134"/>
    </font>
    <font>
      <sz val="12"/>
      <color rgb="FF0070C0"/>
      <name val="Comic Sans MS"/>
      <charset val="134"/>
    </font>
    <font>
      <b/>
      <strike/>
      <sz val="12"/>
      <color indexed="10"/>
      <name val="Comic Sans MS"/>
      <charset val="134"/>
    </font>
    <font>
      <sz val="13"/>
      <color indexed="10"/>
      <name val="Comic Sans MS"/>
      <charset val="134"/>
    </font>
    <font>
      <b/>
      <sz val="12"/>
      <color indexed="10"/>
      <name val="Comic Sans MS"/>
      <charset val="134"/>
    </font>
    <font>
      <b/>
      <u/>
      <sz val="12"/>
      <color theme="1"/>
      <name val="Comic Sans MS"/>
      <charset val="134"/>
    </font>
    <font>
      <sz val="12"/>
      <color rgb="FF0000FF"/>
      <name val="Comic Sans MS"/>
      <charset val="134"/>
    </font>
    <font>
      <sz val="12"/>
      <color indexed="10"/>
      <name val="Comic Sans MS"/>
      <charset val="134"/>
    </font>
    <font>
      <b/>
      <u/>
      <sz val="11"/>
      <color theme="1"/>
      <name val="Comic Sans MS"/>
      <charset val="134"/>
    </font>
    <font>
      <b/>
      <strike/>
      <sz val="11"/>
      <color indexed="10"/>
      <name val="Comic Sans MS"/>
      <charset val="134"/>
    </font>
    <font>
      <b/>
      <i/>
      <sz val="11"/>
      <color rgb="FFFF0000"/>
      <name val="Comic Sans MS"/>
      <charset val="134"/>
    </font>
    <font>
      <sz val="11"/>
      <color indexed="10"/>
      <name val="Comic Sans MS"/>
      <charset val="134"/>
    </font>
    <font>
      <b/>
      <i/>
      <sz val="12"/>
      <color rgb="FFFF0000"/>
      <name val="Comic Sans MS"/>
      <charset val="134"/>
    </font>
    <font>
      <sz val="12"/>
      <color rgb="FFFF0000"/>
      <name val="Comic Sans MS"/>
      <charset val="134"/>
    </font>
    <font>
      <sz val="11"/>
      <color theme="1"/>
      <name val="Calibri"/>
      <charset val="134"/>
      <scheme val="minor"/>
    </font>
    <font>
      <sz val="9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</cellStyleXfs>
  <cellXfs count="3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6" fillId="0" borderId="15" xfId="2" applyNumberFormat="1" applyFont="1" applyBorder="1"/>
    <xf numFmtId="0" fontId="6" fillId="0" borderId="15" xfId="0" applyFont="1" applyBorder="1"/>
    <xf numFmtId="0" fontId="1" fillId="0" borderId="15" xfId="0" applyFont="1" applyBorder="1"/>
    <xf numFmtId="44" fontId="7" fillId="0" borderId="14" xfId="0" applyNumberFormat="1" applyFont="1" applyBorder="1"/>
    <xf numFmtId="0" fontId="6" fillId="0" borderId="17" xfId="0" applyFont="1" applyBorder="1"/>
    <xf numFmtId="0" fontId="1" fillId="0" borderId="18" xfId="0" applyFont="1" applyBorder="1"/>
    <xf numFmtId="0" fontId="6" fillId="0" borderId="9" xfId="0" applyFont="1" applyBorder="1"/>
    <xf numFmtId="0" fontId="7" fillId="0" borderId="18" xfId="0" applyFont="1" applyBorder="1" applyAlignment="1">
      <alignment horizontal="center"/>
    </xf>
    <xf numFmtId="44" fontId="7" fillId="0" borderId="18" xfId="0" applyNumberFormat="1" applyFont="1" applyBorder="1"/>
    <xf numFmtId="0" fontId="6" fillId="0" borderId="6" xfId="0" applyFont="1" applyBorder="1"/>
    <xf numFmtId="0" fontId="7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44" fontId="6" fillId="0" borderId="21" xfId="0" applyNumberFormat="1" applyFont="1" applyBorder="1"/>
    <xf numFmtId="0" fontId="6" fillId="0" borderId="22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/>
    <xf numFmtId="0" fontId="11" fillId="0" borderId="21" xfId="0" applyFont="1" applyBorder="1" applyAlignment="1">
      <alignment horizontal="right"/>
    </xf>
    <xf numFmtId="165" fontId="11" fillId="0" borderId="21" xfId="2" applyNumberFormat="1" applyFont="1" applyBorder="1"/>
    <xf numFmtId="4" fontId="7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/>
    <xf numFmtId="0" fontId="11" fillId="0" borderId="24" xfId="0" applyFont="1" applyBorder="1" applyAlignment="1">
      <alignment horizontal="right"/>
    </xf>
    <xf numFmtId="165" fontId="11" fillId="0" borderId="24" xfId="2" applyNumberFormat="1" applyFont="1" applyBorder="1"/>
    <xf numFmtId="4" fontId="7" fillId="0" borderId="25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6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2" fillId="0" borderId="13" xfId="0" applyFont="1" applyBorder="1" applyAlignment="1">
      <alignment horizontal="center"/>
    </xf>
    <xf numFmtId="41" fontId="8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6" fontId="4" fillId="0" borderId="12" xfId="0" applyNumberFormat="1" applyFont="1" applyBorder="1" applyAlignment="1">
      <alignment horizontal="right"/>
    </xf>
    <xf numFmtId="166" fontId="4" fillId="0" borderId="12" xfId="0" applyNumberFormat="1" applyFont="1" applyBorder="1"/>
    <xf numFmtId="15" fontId="1" fillId="0" borderId="13" xfId="0" applyNumberFormat="1" applyFont="1" applyBorder="1" applyAlignment="1">
      <alignment horizontal="center"/>
    </xf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9" fillId="0" borderId="20" xfId="0" applyFont="1" applyBorder="1"/>
    <xf numFmtId="0" fontId="9" fillId="0" borderId="22" xfId="0" applyFont="1" applyBorder="1"/>
    <xf numFmtId="43" fontId="7" fillId="0" borderId="24" xfId="0" applyNumberFormat="1" applyFont="1" applyBorder="1"/>
    <xf numFmtId="43" fontId="7" fillId="0" borderId="25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9" fillId="0" borderId="8" xfId="0" applyFont="1" applyBorder="1"/>
    <xf numFmtId="0" fontId="1" fillId="0" borderId="9" xfId="0" applyFont="1" applyBorder="1"/>
    <xf numFmtId="0" fontId="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7" fillId="0" borderId="13" xfId="0" applyFont="1" applyBorder="1" applyAlignment="1">
      <alignment horizontal="center"/>
    </xf>
    <xf numFmtId="44" fontId="7" fillId="0" borderId="13" xfId="0" applyNumberFormat="1" applyFont="1" applyBorder="1"/>
    <xf numFmtId="44" fontId="4" fillId="0" borderId="12" xfId="0" applyNumberFormat="1" applyFont="1" applyBorder="1" applyAlignment="1">
      <alignment horizontal="right" vertical="center" wrapText="1"/>
    </xf>
    <xf numFmtId="44" fontId="4" fillId="0" borderId="12" xfId="0" applyNumberFormat="1" applyFont="1" applyBorder="1"/>
    <xf numFmtId="0" fontId="7" fillId="2" borderId="11" xfId="0" applyFont="1" applyFill="1" applyBorder="1" applyAlignment="1">
      <alignment horizontal="center"/>
    </xf>
    <xf numFmtId="0" fontId="6" fillId="0" borderId="1" xfId="0" applyFont="1" applyBorder="1"/>
    <xf numFmtId="4" fontId="23" fillId="0" borderId="3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11" xfId="2" applyNumberFormat="1" applyFont="1" applyBorder="1"/>
    <xf numFmtId="4" fontId="6" fillId="0" borderId="11" xfId="0" applyNumberFormat="1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6" fillId="0" borderId="8" xfId="0" applyNumberFormat="1" applyFont="1" applyBorder="1"/>
    <xf numFmtId="0" fontId="10" fillId="0" borderId="11" xfId="0" applyFont="1" applyBorder="1" applyAlignment="1">
      <alignment vertical="center"/>
    </xf>
    <xf numFmtId="0" fontId="7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0" fillId="0" borderId="27" xfId="0" applyFont="1" applyBorder="1" applyAlignment="1">
      <alignment vertical="center"/>
    </xf>
    <xf numFmtId="4" fontId="6" fillId="0" borderId="27" xfId="0" applyNumberFormat="1" applyFont="1" applyBorder="1"/>
    <xf numFmtId="0" fontId="6" fillId="0" borderId="8" xfId="0" applyFont="1" applyBorder="1"/>
    <xf numFmtId="0" fontId="7" fillId="0" borderId="11" xfId="0" applyFont="1" applyBorder="1" applyAlignment="1">
      <alignment horizontal="center"/>
    </xf>
    <xf numFmtId="15" fontId="6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vertical="center"/>
    </xf>
    <xf numFmtId="4" fontId="11" fillId="0" borderId="11" xfId="0" applyNumberFormat="1" applyFont="1" applyBorder="1" applyAlignment="1">
      <alignment horizontal="right" vertical="center" wrapText="1"/>
    </xf>
    <xf numFmtId="4" fontId="14" fillId="0" borderId="11" xfId="0" applyNumberFormat="1" applyFont="1" applyBorder="1" applyAlignment="1">
      <alignment horizontal="right" vertical="center" wrapText="1"/>
    </xf>
    <xf numFmtId="2" fontId="6" fillId="0" borderId="11" xfId="0" applyNumberFormat="1" applyFont="1" applyBorder="1"/>
    <xf numFmtId="0" fontId="3" fillId="0" borderId="10" xfId="0" applyFont="1" applyBorder="1"/>
    <xf numFmtId="0" fontId="2" fillId="0" borderId="11" xfId="0" applyFont="1" applyBorder="1" applyAlignment="1">
      <alignment horizontal="right"/>
    </xf>
    <xf numFmtId="4" fontId="18" fillId="3" borderId="11" xfId="0" applyNumberFormat="1" applyFont="1" applyFill="1" applyBorder="1"/>
    <xf numFmtId="0" fontId="6" fillId="0" borderId="28" xfId="0" applyFont="1" applyBorder="1"/>
    <xf numFmtId="0" fontId="6" fillId="0" borderId="21" xfId="0" applyFont="1" applyBorder="1" applyAlignment="1">
      <alignment horizontal="center"/>
    </xf>
    <xf numFmtId="0" fontId="10" fillId="0" borderId="21" xfId="0" applyFont="1" applyBorder="1" applyAlignment="1">
      <alignment vertical="center"/>
    </xf>
    <xf numFmtId="4" fontId="6" fillId="0" borderId="21" xfId="0" applyNumberFormat="1" applyFont="1" applyBorder="1"/>
    <xf numFmtId="0" fontId="24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4" fontId="25" fillId="0" borderId="11" xfId="0" applyNumberFormat="1" applyFont="1" applyBorder="1" applyAlignment="1">
      <alignment horizontal="right" vertical="center" wrapText="1"/>
    </xf>
    <xf numFmtId="4" fontId="23" fillId="0" borderId="12" xfId="0" applyNumberFormat="1" applyFont="1" applyBorder="1"/>
    <xf numFmtId="0" fontId="6" fillId="0" borderId="10" xfId="0" applyFont="1" applyBorder="1" applyAlignment="1">
      <alignment horizontal="center"/>
    </xf>
    <xf numFmtId="165" fontId="6" fillId="0" borderId="11" xfId="2" applyNumberFormat="1" applyFont="1" applyBorder="1"/>
    <xf numFmtId="0" fontId="6" fillId="0" borderId="29" xfId="0" applyFont="1" applyBorder="1" applyAlignment="1">
      <alignment horizontal="center"/>
    </xf>
    <xf numFmtId="0" fontId="6" fillId="0" borderId="30" xfId="0" applyFont="1" applyBorder="1"/>
    <xf numFmtId="0" fontId="11" fillId="0" borderId="30" xfId="0" applyFont="1" applyBorder="1" applyAlignment="1">
      <alignment horizontal="right"/>
    </xf>
    <xf numFmtId="165" fontId="11" fillId="0" borderId="30" xfId="2" applyNumberFormat="1" applyFont="1" applyBorder="1"/>
    <xf numFmtId="4" fontId="7" fillId="0" borderId="31" xfId="0" applyNumberFormat="1" applyFont="1" applyBorder="1"/>
    <xf numFmtId="0" fontId="26" fillId="0" borderId="11" xfId="0" applyFont="1" applyBorder="1" applyAlignment="1">
      <alignment vertical="center"/>
    </xf>
    <xf numFmtId="4" fontId="26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6" fillId="0" borderId="20" xfId="0" applyFont="1" applyBorder="1"/>
    <xf numFmtId="0" fontId="6" fillId="0" borderId="21" xfId="0" applyFont="1" applyBorder="1"/>
    <xf numFmtId="0" fontId="25" fillId="0" borderId="0" xfId="0" applyFont="1" applyAlignment="1">
      <alignment horizontal="left" vertical="center" wrapText="1"/>
    </xf>
    <xf numFmtId="4" fontId="24" fillId="0" borderId="11" xfId="0" applyNumberFormat="1" applyFont="1" applyBorder="1" applyAlignment="1">
      <alignment horizontal="right" vertical="center" wrapText="1"/>
    </xf>
    <xf numFmtId="0" fontId="9" fillId="0" borderId="10" xfId="0" applyFont="1" applyBorder="1"/>
    <xf numFmtId="0" fontId="9" fillId="0" borderId="11" xfId="0" applyFont="1" applyBorder="1"/>
    <xf numFmtId="4" fontId="27" fillId="0" borderId="12" xfId="0" applyNumberFormat="1" applyFont="1" applyBorder="1"/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2" fontId="9" fillId="0" borderId="11" xfId="0" applyNumberFormat="1" applyFont="1" applyBorder="1"/>
    <xf numFmtId="165" fontId="9" fillId="0" borderId="11" xfId="2" applyNumberFormat="1" applyFont="1" applyBorder="1"/>
    <xf numFmtId="4" fontId="9" fillId="0" borderId="11" xfId="0" applyNumberFormat="1" applyFont="1" applyBorder="1"/>
    <xf numFmtId="0" fontId="12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/>
    <xf numFmtId="0" fontId="1" fillId="0" borderId="27" xfId="0" applyFont="1" applyBorder="1"/>
    <xf numFmtId="0" fontId="9" fillId="0" borderId="28" xfId="0" applyFont="1" applyBorder="1"/>
    <xf numFmtId="0" fontId="28" fillId="0" borderId="29" xfId="0" applyFont="1" applyBorder="1" applyAlignment="1">
      <alignment horizontal="center"/>
    </xf>
    <xf numFmtId="0" fontId="28" fillId="0" borderId="30" xfId="0" applyFont="1" applyBorder="1"/>
    <xf numFmtId="0" fontId="29" fillId="0" borderId="30" xfId="0" applyFont="1" applyBorder="1" applyAlignment="1">
      <alignment horizontal="right"/>
    </xf>
    <xf numFmtId="165" fontId="29" fillId="0" borderId="30" xfId="2" applyNumberFormat="1" applyFont="1" applyBorder="1"/>
    <xf numFmtId="4" fontId="28" fillId="0" borderId="31" xfId="0" applyNumberFormat="1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9" xfId="0" applyFont="1" applyBorder="1"/>
    <xf numFmtId="0" fontId="12" fillId="0" borderId="11" xfId="0" applyFont="1" applyBorder="1" applyAlignment="1">
      <alignment horizontal="center"/>
    </xf>
    <xf numFmtId="15" fontId="9" fillId="0" borderId="10" xfId="0" applyNumberFormat="1" applyFont="1" applyBorder="1" applyAlignment="1">
      <alignment horizontal="center"/>
    </xf>
    <xf numFmtId="0" fontId="30" fillId="0" borderId="11" xfId="0" applyFont="1" applyBorder="1"/>
    <xf numFmtId="0" fontId="31" fillId="0" borderId="11" xfId="0" applyFont="1" applyBorder="1" applyAlignment="1">
      <alignment horizontal="left" vertical="center" wrapText="1"/>
    </xf>
    <xf numFmtId="4" fontId="31" fillId="0" borderId="11" xfId="0" applyNumberFormat="1" applyFont="1" applyBorder="1" applyAlignment="1">
      <alignment horizontal="right" vertical="center" wrapText="1"/>
    </xf>
    <xf numFmtId="4" fontId="32" fillId="0" borderId="11" xfId="0" applyNumberFormat="1" applyFont="1" applyBorder="1" applyAlignment="1">
      <alignment horizontal="righ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0" fontId="3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right"/>
    </xf>
    <xf numFmtId="0" fontId="1" fillId="0" borderId="11" xfId="0" applyFont="1" applyBorder="1"/>
    <xf numFmtId="43" fontId="9" fillId="0" borderId="24" xfId="0" applyNumberFormat="1" applyFont="1" applyBorder="1"/>
    <xf numFmtId="43" fontId="9" fillId="0" borderId="25" xfId="0" applyNumberFormat="1" applyFont="1" applyBorder="1"/>
    <xf numFmtId="0" fontId="34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12" fillId="0" borderId="4" xfId="0" applyFont="1" applyBorder="1"/>
    <xf numFmtId="0" fontId="12" fillId="0" borderId="0" xfId="0" applyFont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left" vertical="center"/>
    </xf>
    <xf numFmtId="0" fontId="9" fillId="0" borderId="1" xfId="0" applyFont="1" applyBorder="1"/>
    <xf numFmtId="4" fontId="27" fillId="0" borderId="3" xfId="0" applyNumberFormat="1" applyFont="1" applyBorder="1"/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/>
    <xf numFmtId="2" fontId="9" fillId="0" borderId="0" xfId="2" applyNumberFormat="1" applyFont="1" applyBorder="1"/>
    <xf numFmtId="4" fontId="9" fillId="0" borderId="0" xfId="0" applyNumberFormat="1" applyFont="1"/>
    <xf numFmtId="0" fontId="35" fillId="0" borderId="0" xfId="0" applyFont="1" applyAlignment="1">
      <alignment horizontal="right"/>
    </xf>
    <xf numFmtId="0" fontId="35" fillId="0" borderId="0" xfId="0" applyFont="1"/>
    <xf numFmtId="165" fontId="35" fillId="0" borderId="0" xfId="2" applyNumberFormat="1" applyFont="1" applyBorder="1"/>
    <xf numFmtId="4" fontId="9" fillId="0" borderId="6" xfId="0" applyNumberFormat="1" applyFont="1" applyBorder="1"/>
    <xf numFmtId="0" fontId="12" fillId="0" borderId="0" xfId="0" applyFont="1" applyAlignment="1">
      <alignment horizontal="center"/>
    </xf>
    <xf numFmtId="15" fontId="9" fillId="0" borderId="4" xfId="0" applyNumberFormat="1" applyFont="1" applyBorder="1" applyAlignment="1">
      <alignment horizontal="center"/>
    </xf>
    <xf numFmtId="4" fontId="26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4" fontId="25" fillId="0" borderId="0" xfId="0" applyNumberFormat="1" applyFont="1" applyAlignment="1">
      <alignment horizontal="right" vertical="center" wrapText="1"/>
    </xf>
    <xf numFmtId="4" fontId="31" fillId="0" borderId="0" xfId="0" applyNumberFormat="1" applyFont="1" applyAlignment="1">
      <alignment horizontal="right" vertical="center" wrapText="1"/>
    </xf>
    <xf numFmtId="4" fontId="32" fillId="0" borderId="0" xfId="0" applyNumberFormat="1" applyFont="1" applyAlignment="1">
      <alignment horizontal="right" vertical="center" wrapText="1"/>
    </xf>
    <xf numFmtId="4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left" vertical="center" wrapText="1"/>
    </xf>
    <xf numFmtId="2" fontId="9" fillId="0" borderId="21" xfId="0" applyNumberFormat="1" applyFont="1" applyBorder="1"/>
    <xf numFmtId="0" fontId="12" fillId="0" borderId="0" xfId="0" applyFont="1" applyAlignment="1">
      <alignment horizontal="right"/>
    </xf>
    <xf numFmtId="4" fontId="37" fillId="0" borderId="0" xfId="0" applyNumberFormat="1" applyFont="1"/>
    <xf numFmtId="2" fontId="12" fillId="0" borderId="6" xfId="0" applyNumberFormat="1" applyFont="1" applyBorder="1" applyAlignment="1">
      <alignment horizontal="left"/>
    </xf>
    <xf numFmtId="165" fontId="9" fillId="0" borderId="0" xfId="2" applyNumberFormat="1" applyFont="1" applyBorder="1"/>
    <xf numFmtId="165" fontId="9" fillId="0" borderId="0" xfId="0" applyNumberFormat="1" applyFont="1"/>
    <xf numFmtId="4" fontId="37" fillId="5" borderId="0" xfId="0" applyNumberFormat="1" applyFont="1" applyFill="1"/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2" fontId="37" fillId="5" borderId="0" xfId="0" applyNumberFormat="1" applyFont="1" applyFill="1"/>
    <xf numFmtId="0" fontId="41" fillId="0" borderId="0" xfId="0" applyFont="1" applyAlignment="1">
      <alignment horizontal="left" vertical="center" wrapText="1"/>
    </xf>
    <xf numFmtId="4" fontId="35" fillId="0" borderId="0" xfId="0" applyNumberFormat="1" applyFont="1" applyAlignment="1">
      <alignment horizontal="right" vertical="center" wrapText="1"/>
    </xf>
    <xf numFmtId="2" fontId="34" fillId="5" borderId="0" xfId="0" applyNumberFormat="1" applyFont="1" applyFill="1"/>
    <xf numFmtId="0" fontId="42" fillId="0" borderId="0" xfId="0" applyFont="1"/>
    <xf numFmtId="165" fontId="34" fillId="5" borderId="0" xfId="2" applyNumberFormat="1" applyFont="1" applyFill="1" applyBorder="1"/>
    <xf numFmtId="167" fontId="12" fillId="0" borderId="6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left" vertical="center" wrapText="1"/>
    </xf>
    <xf numFmtId="2" fontId="35" fillId="0" borderId="0" xfId="0" applyNumberFormat="1" applyFont="1"/>
    <xf numFmtId="165" fontId="42" fillId="0" borderId="0" xfId="2" applyNumberFormat="1" applyFont="1" applyFill="1" applyBorder="1"/>
    <xf numFmtId="43" fontId="9" fillId="0" borderId="0" xfId="0" applyNumberFormat="1" applyFont="1"/>
    <xf numFmtId="43" fontId="9" fillId="0" borderId="6" xfId="0" applyNumberFormat="1" applyFont="1" applyBorder="1"/>
    <xf numFmtId="0" fontId="34" fillId="0" borderId="4" xfId="0" applyFont="1" applyBorder="1"/>
    <xf numFmtId="2" fontId="12" fillId="5" borderId="0" xfId="0" applyNumberFormat="1" applyFont="1" applyFill="1" applyAlignment="1">
      <alignment horizontal="left"/>
    </xf>
    <xf numFmtId="0" fontId="12" fillId="0" borderId="0" xfId="0" applyFont="1"/>
    <xf numFmtId="4" fontId="20" fillId="0" borderId="8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9" fillId="0" borderId="1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7"/>
  <sheetViews>
    <sheetView workbookViewId="0">
      <selection activeCell="E21" sqref="E21: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252" t="s">
        <v>2</v>
      </c>
      <c r="F4" s="261" t="s">
        <v>3</v>
      </c>
      <c r="G4" s="262"/>
      <c r="H4" s="9">
        <f>+E35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G25</f>
        <v>3630500</v>
      </c>
      <c r="I5" s="10"/>
    </row>
    <row r="6" spans="2:9" ht="21">
      <c r="B6" s="5"/>
      <c r="C6" s="11" t="s">
        <v>7</v>
      </c>
      <c r="D6" s="12" t="s">
        <v>1</v>
      </c>
      <c r="E6" s="15" t="s">
        <v>8</v>
      </c>
      <c r="F6" s="263" t="s">
        <v>9</v>
      </c>
      <c r="G6" s="264"/>
      <c r="H6" s="14">
        <f>H4-H5</f>
        <v>680984396.23000002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0.99469701868891225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6"/>
      <c r="F15" s="98"/>
      <c r="G15" s="98"/>
      <c r="H15" s="190"/>
      <c r="I15" s="10"/>
    </row>
    <row r="16" spans="2:9" ht="18.600000000000001">
      <c r="B16" s="5"/>
      <c r="C16" s="217"/>
      <c r="D16" s="98"/>
      <c r="E16" s="222" t="s">
        <v>18</v>
      </c>
      <c r="F16" s="223"/>
      <c r="G16" s="253">
        <v>0</v>
      </c>
      <c r="H16" s="225">
        <f>H10-G16</f>
        <v>684614896.23000002</v>
      </c>
      <c r="I16" s="10"/>
    </row>
    <row r="17" spans="2:9" ht="18.600000000000001">
      <c r="B17" s="5"/>
      <c r="C17" s="189"/>
      <c r="D17" s="98"/>
      <c r="E17" s="98"/>
      <c r="F17" s="98"/>
      <c r="G17" s="98"/>
      <c r="H17" s="190"/>
      <c r="I17" s="10"/>
    </row>
    <row r="18" spans="2:9" ht="19.8">
      <c r="B18" s="5"/>
      <c r="C18" s="269" t="s">
        <v>19</v>
      </c>
      <c r="D18" s="272"/>
      <c r="E18" s="272"/>
      <c r="F18" s="98"/>
      <c r="G18" s="98"/>
      <c r="H18" s="190"/>
      <c r="I18" s="10"/>
    </row>
    <row r="19" spans="2:9" ht="19.8">
      <c r="B19" s="5"/>
      <c r="C19" s="215" t="s">
        <v>20</v>
      </c>
      <c r="D19" s="226" t="s">
        <v>21</v>
      </c>
      <c r="E19" s="226" t="s">
        <v>22</v>
      </c>
      <c r="F19" s="98"/>
      <c r="G19" s="98"/>
      <c r="H19" s="190"/>
      <c r="I19" s="10"/>
    </row>
    <row r="20" spans="2:9" ht="18.600000000000001">
      <c r="B20" s="5"/>
      <c r="C20" s="227">
        <v>44712</v>
      </c>
      <c r="D20" s="216" t="s">
        <v>23</v>
      </c>
      <c r="E20" s="223" t="s">
        <v>2</v>
      </c>
      <c r="F20" s="223"/>
      <c r="G20" s="224">
        <v>3630500</v>
      </c>
      <c r="H20" s="190"/>
      <c r="I20" s="10"/>
    </row>
    <row r="21" spans="2:9" ht="18.600000000000001">
      <c r="B21" s="5"/>
      <c r="C21" s="227">
        <v>44673</v>
      </c>
      <c r="D21" s="216"/>
      <c r="E21" s="249" t="s">
        <v>24</v>
      </c>
      <c r="F21" s="249"/>
      <c r="G21" s="254">
        <v>3630500</v>
      </c>
      <c r="H21" s="190"/>
      <c r="I21" s="10"/>
    </row>
    <row r="22" spans="2:9" ht="18.600000000000001">
      <c r="B22" s="5"/>
      <c r="C22" s="189"/>
      <c r="D22" s="98"/>
      <c r="E22" s="98"/>
      <c r="F22" s="98"/>
      <c r="G22" s="235">
        <v>0</v>
      </c>
      <c r="H22" s="190"/>
      <c r="I22" s="10"/>
    </row>
    <row r="23" spans="2:9" ht="19.8">
      <c r="B23" s="5"/>
      <c r="C23" s="189"/>
      <c r="D23" s="98"/>
      <c r="E23" s="236" t="s">
        <v>25</v>
      </c>
      <c r="F23" s="98"/>
      <c r="G23" s="248">
        <f>G20-SUM(G21:G22)</f>
        <v>0</v>
      </c>
      <c r="H23" s="190"/>
      <c r="I23" s="10"/>
    </row>
    <row r="24" spans="2:9" ht="18.600000000000001">
      <c r="B24" s="5"/>
      <c r="C24" s="80"/>
      <c r="D24" s="48"/>
      <c r="E24" s="48"/>
      <c r="F24" s="48"/>
      <c r="G24" s="48"/>
      <c r="H24" s="81"/>
      <c r="I24" s="10"/>
    </row>
    <row r="25" spans="2:9" ht="19.8">
      <c r="B25" s="5"/>
      <c r="C25" s="273" t="s">
        <v>26</v>
      </c>
      <c r="D25" s="274"/>
      <c r="E25" s="274"/>
      <c r="F25" s="98"/>
      <c r="G25" s="255">
        <f>G16+G20</f>
        <v>3630500</v>
      </c>
      <c r="H25" s="256">
        <f>H10-G25</f>
        <v>680984396.23000002</v>
      </c>
      <c r="I25" s="10"/>
    </row>
    <row r="26" spans="2:9" ht="19.8">
      <c r="B26" s="5"/>
      <c r="C26" s="257" t="s">
        <v>27</v>
      </c>
      <c r="D26" s="98"/>
      <c r="E26" s="98"/>
      <c r="F26" s="98"/>
      <c r="G26" s="98"/>
      <c r="H26" s="190"/>
      <c r="I26" s="10"/>
    </row>
    <row r="27" spans="2:9" ht="19.8">
      <c r="B27" s="5"/>
      <c r="C27" s="207" t="s">
        <v>28</v>
      </c>
      <c r="D27" s="208" t="s">
        <v>1</v>
      </c>
      <c r="E27" s="258">
        <f>G23</f>
        <v>0</v>
      </c>
      <c r="F27" s="98"/>
      <c r="G27" s="98"/>
      <c r="H27" s="190"/>
      <c r="I27" s="10"/>
    </row>
    <row r="28" spans="2:9" ht="19.8">
      <c r="B28" s="5"/>
      <c r="C28" s="207" t="s">
        <v>29</v>
      </c>
      <c r="D28" s="208" t="s">
        <v>1</v>
      </c>
      <c r="E28" s="259" t="s">
        <v>30</v>
      </c>
      <c r="F28" s="98"/>
      <c r="G28" s="98"/>
      <c r="H28" s="190"/>
      <c r="I28" s="10"/>
    </row>
    <row r="29" spans="2:9" ht="19.8">
      <c r="B29" s="5"/>
      <c r="C29" s="210" t="s">
        <v>31</v>
      </c>
      <c r="D29" s="211" t="s">
        <v>1</v>
      </c>
      <c r="E29" s="260" t="s">
        <v>32</v>
      </c>
      <c r="F29" s="96"/>
      <c r="G29" s="275" t="s">
        <v>33</v>
      </c>
      <c r="H29" s="276"/>
      <c r="I29" s="10"/>
    </row>
    <row r="30" spans="2:9" ht="6" customHeight="1">
      <c r="B30" s="95"/>
      <c r="C30" s="96"/>
      <c r="D30" s="96"/>
      <c r="E30" s="96"/>
      <c r="F30" s="96"/>
      <c r="G30" s="96"/>
      <c r="H30" s="96"/>
      <c r="I30" s="97"/>
    </row>
    <row r="31" spans="2:9" ht="18.600000000000001">
      <c r="C31" s="98"/>
      <c r="D31" s="98"/>
      <c r="E31" s="98"/>
      <c r="F31" s="98"/>
      <c r="G31" s="98"/>
      <c r="H31" s="98"/>
    </row>
    <row r="32" spans="2:9" ht="19.8">
      <c r="C32" s="99" t="s">
        <v>34</v>
      </c>
      <c r="D32" s="100"/>
      <c r="E32" s="101"/>
      <c r="F32" s="102"/>
      <c r="G32" s="102"/>
      <c r="H32" s="98"/>
    </row>
    <row r="33" spans="3:8" ht="19.8">
      <c r="C33" s="99"/>
      <c r="D33" s="100"/>
      <c r="E33" s="101"/>
      <c r="F33" s="103" t="s">
        <v>35</v>
      </c>
      <c r="G33" s="104">
        <v>15000000</v>
      </c>
      <c r="H33" s="98"/>
    </row>
    <row r="34" spans="3:8" ht="19.8">
      <c r="C34" s="99" t="s">
        <v>36</v>
      </c>
      <c r="D34" s="100"/>
      <c r="E34" s="101">
        <v>68461489623</v>
      </c>
      <c r="F34" s="105" t="s">
        <v>37</v>
      </c>
      <c r="G34" s="106"/>
      <c r="H34" s="98"/>
    </row>
    <row r="35" spans="3:8" ht="19.8">
      <c r="C35" s="107">
        <v>0.01</v>
      </c>
      <c r="D35" s="100"/>
      <c r="E35" s="101">
        <f>E34*C35</f>
        <v>684614896.23000002</v>
      </c>
      <c r="F35" s="105" t="s">
        <v>38</v>
      </c>
      <c r="G35" s="108"/>
      <c r="H35" s="98"/>
    </row>
    <row r="36" spans="3:8" ht="18.600000000000001">
      <c r="C36" s="98"/>
      <c r="D36" s="98"/>
      <c r="E36" s="98"/>
      <c r="F36" s="98"/>
      <c r="G36" s="98"/>
      <c r="H36" s="98"/>
    </row>
    <row r="37" spans="3:8" ht="18.600000000000001">
      <c r="C37" s="98"/>
      <c r="D37" s="98"/>
      <c r="E37" s="98"/>
      <c r="F37" s="98"/>
      <c r="G37" s="98"/>
      <c r="H37" s="98"/>
    </row>
  </sheetData>
  <mergeCells count="12">
    <mergeCell ref="C25:E25"/>
    <mergeCell ref="G29:H29"/>
    <mergeCell ref="C11:E11"/>
    <mergeCell ref="D12:E12"/>
    <mergeCell ref="D13:E13"/>
    <mergeCell ref="C14:E14"/>
    <mergeCell ref="C18:E18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82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81738067.349999994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83</v>
      </c>
      <c r="F6" s="11" t="s">
        <v>9</v>
      </c>
      <c r="G6" s="14">
        <f>G4-G5</f>
        <v>671392525.70500004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0.89146893234221491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53">
        <v>1</v>
      </c>
      <c r="D12" s="286" t="s">
        <v>16</v>
      </c>
      <c r="E12" s="286"/>
      <c r="F12" s="141">
        <v>0</v>
      </c>
      <c r="G12" s="25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0"/>
      <c r="D18" s="121"/>
      <c r="E18" s="23" t="s">
        <v>58</v>
      </c>
      <c r="F18" s="126">
        <f>+LK.04!G23</f>
        <v>3592000</v>
      </c>
      <c r="G18" s="25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55"/>
      <c r="D24" s="156"/>
      <c r="E24" s="157" t="s">
        <v>18</v>
      </c>
      <c r="F24" s="158">
        <f>SUM(F15:F23)</f>
        <v>66975064.350000001</v>
      </c>
      <c r="G24" s="159">
        <f>G10-F24</f>
        <v>686155528.70500004</v>
      </c>
      <c r="H24" s="10"/>
    </row>
    <row r="25" spans="2:13" ht="20.399999999999999">
      <c r="B25" s="5"/>
      <c r="C25" s="284" t="s">
        <v>19</v>
      </c>
      <c r="D25" s="287"/>
      <c r="E25" s="287"/>
      <c r="F25" s="24"/>
      <c r="G25" s="25"/>
      <c r="H25" s="10"/>
    </row>
    <row r="26" spans="2:13" ht="20.399999999999999">
      <c r="B26" s="5"/>
      <c r="C26" s="120" t="s">
        <v>20</v>
      </c>
      <c r="D26" s="136" t="s">
        <v>21</v>
      </c>
      <c r="E26" s="136" t="s">
        <v>22</v>
      </c>
      <c r="F26" s="24"/>
      <c r="G26" s="25"/>
      <c r="H26" s="10"/>
    </row>
    <row r="27" spans="2:13" ht="19.8">
      <c r="B27" s="5"/>
      <c r="C27" s="137">
        <v>44846</v>
      </c>
      <c r="D27" s="121" t="s">
        <v>23</v>
      </c>
      <c r="E27" s="160" t="s">
        <v>85</v>
      </c>
      <c r="F27" s="161">
        <v>14763003</v>
      </c>
      <c r="G27" s="25"/>
      <c r="H27" s="10"/>
    </row>
    <row r="28" spans="2:13" ht="20.399999999999999">
      <c r="B28" s="5"/>
      <c r="C28" s="137">
        <v>44673</v>
      </c>
      <c r="D28" s="121"/>
      <c r="E28" s="150" t="s">
        <v>45</v>
      </c>
      <c r="F28" s="151">
        <v>0</v>
      </c>
      <c r="G28" s="25"/>
      <c r="H28" s="10"/>
    </row>
    <row r="29" spans="2:13" ht="20.399999999999999">
      <c r="B29" s="5"/>
      <c r="C29" s="137"/>
      <c r="D29" s="121"/>
      <c r="E29" s="150" t="s">
        <v>54</v>
      </c>
      <c r="F29" s="151">
        <v>0</v>
      </c>
      <c r="G29" s="25"/>
      <c r="H29" s="10"/>
      <c r="L29" s="110"/>
    </row>
    <row r="30" spans="2:13" ht="20.399999999999999">
      <c r="B30" s="5"/>
      <c r="C30" s="137"/>
      <c r="D30" s="121"/>
      <c r="E30" s="150" t="s">
        <v>67</v>
      </c>
      <c r="F30" s="151">
        <v>0</v>
      </c>
      <c r="G30" s="25"/>
      <c r="H30" s="10"/>
      <c r="M30" s="110"/>
    </row>
    <row r="31" spans="2:13" ht="20.399999999999999">
      <c r="B31" s="5"/>
      <c r="C31" s="137"/>
      <c r="D31" s="121"/>
      <c r="E31" s="150" t="s">
        <v>68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75</v>
      </c>
      <c r="F32" s="151">
        <v>0</v>
      </c>
      <c r="G32" s="25"/>
      <c r="H32" s="10"/>
      <c r="M32" s="110"/>
    </row>
    <row r="33" spans="2:13" ht="20.399999999999999">
      <c r="B33" s="5"/>
      <c r="C33" s="137"/>
      <c r="D33" s="121"/>
      <c r="E33" s="150" t="s">
        <v>86</v>
      </c>
      <c r="F33" s="166">
        <v>899435.65</v>
      </c>
      <c r="G33" s="25"/>
      <c r="H33" s="10"/>
    </row>
    <row r="34" spans="2:13" ht="20.399999999999999">
      <c r="B34" s="5"/>
      <c r="C34" s="137"/>
      <c r="D34" s="121"/>
      <c r="E34" s="149" t="s">
        <v>87</v>
      </c>
      <c r="F34" s="166">
        <v>13863567.35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22"/>
      <c r="D36" s="24"/>
      <c r="E36" s="162" t="s">
        <v>25</v>
      </c>
      <c r="F36" s="144">
        <f>F27-SUM(F28:F35)</f>
        <v>0</v>
      </c>
      <c r="G36" s="25"/>
      <c r="H36" s="10"/>
    </row>
    <row r="37" spans="2:13" ht="19.8">
      <c r="B37" s="5"/>
      <c r="C37" s="163"/>
      <c r="D37" s="164"/>
      <c r="E37" s="164"/>
      <c r="F37" s="164"/>
      <c r="G37" s="46"/>
      <c r="H37" s="10"/>
    </row>
    <row r="38" spans="2:13" ht="20.399999999999999">
      <c r="B38" s="5"/>
      <c r="C38" s="288" t="s">
        <v>26</v>
      </c>
      <c r="D38" s="289"/>
      <c r="E38" s="289"/>
      <c r="F38" s="82">
        <f>F24+F27</f>
        <v>81738067.349999994</v>
      </c>
      <c r="G38" s="83">
        <f>G10-F38</f>
        <v>671392525.70500004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90" t="s">
        <v>50</v>
      </c>
      <c r="G42" s="291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4">
        <v>15000000</v>
      </c>
      <c r="G46" s="98"/>
    </row>
    <row r="47" spans="2:13" ht="19.8">
      <c r="C47" s="99" t="s">
        <v>36</v>
      </c>
      <c r="D47" s="100"/>
      <c r="E47" s="101">
        <v>75313059305.5</v>
      </c>
      <c r="F47" s="106"/>
      <c r="G47" s="98"/>
    </row>
    <row r="48" spans="2:13" ht="19.8">
      <c r="C48" s="107">
        <v>0.01</v>
      </c>
      <c r="D48" s="100"/>
      <c r="E48" s="101">
        <f>E47*C48</f>
        <v>753130593.05500007</v>
      </c>
      <c r="F48" s="108"/>
      <c r="G48" s="9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5:E25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88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83866567.349999994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89</v>
      </c>
      <c r="F6" s="11" t="s">
        <v>9</v>
      </c>
      <c r="G6" s="14">
        <f>G4-G5</f>
        <v>669264025.70500004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0.88864272926451771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53">
        <v>1</v>
      </c>
      <c r="D12" s="286" t="s">
        <v>16</v>
      </c>
      <c r="E12" s="286"/>
      <c r="F12" s="141">
        <v>0</v>
      </c>
      <c r="G12" s="25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55"/>
      <c r="D25" s="156"/>
      <c r="E25" s="157" t="s">
        <v>18</v>
      </c>
      <c r="F25" s="158">
        <f>SUM(F15:F24)</f>
        <v>81738067.349999994</v>
      </c>
      <c r="G25" s="159">
        <f>G10-F25</f>
        <v>671392525.70500004</v>
      </c>
      <c r="H25" s="10"/>
    </row>
    <row r="26" spans="2:13" ht="20.399999999999999">
      <c r="B26" s="5"/>
      <c r="C26" s="292" t="s">
        <v>19</v>
      </c>
      <c r="D26" s="293"/>
      <c r="E26" s="293"/>
      <c r="F26" s="135"/>
      <c r="G26" s="39"/>
      <c r="H26" s="10"/>
    </row>
    <row r="27" spans="2:13" ht="20.399999999999999">
      <c r="B27" s="5"/>
      <c r="C27" s="120" t="s">
        <v>20</v>
      </c>
      <c r="D27" s="136" t="s">
        <v>21</v>
      </c>
      <c r="E27" s="136" t="s">
        <v>22</v>
      </c>
      <c r="F27" s="24"/>
      <c r="G27" s="25"/>
      <c r="H27" s="10"/>
    </row>
    <row r="28" spans="2:13" ht="19.8">
      <c r="B28" s="5"/>
      <c r="C28" s="137">
        <v>44846</v>
      </c>
      <c r="D28" s="121" t="s">
        <v>23</v>
      </c>
      <c r="E28" s="160" t="s">
        <v>90</v>
      </c>
      <c r="F28" s="161">
        <v>2128500</v>
      </c>
      <c r="G28" s="25"/>
      <c r="H28" s="10"/>
    </row>
    <row r="29" spans="2:13" ht="20.399999999999999">
      <c r="B29" s="5"/>
      <c r="C29" s="137">
        <v>44673</v>
      </c>
      <c r="D29" s="121"/>
      <c r="E29" s="150" t="s">
        <v>45</v>
      </c>
      <c r="F29" s="151">
        <v>0</v>
      </c>
      <c r="G29" s="25"/>
      <c r="H29" s="10"/>
    </row>
    <row r="30" spans="2:13" ht="20.399999999999999">
      <c r="B30" s="5"/>
      <c r="C30" s="137"/>
      <c r="D30" s="121"/>
      <c r="E30" s="150" t="s">
        <v>54</v>
      </c>
      <c r="F30" s="151">
        <v>0</v>
      </c>
      <c r="G30" s="25"/>
      <c r="H30" s="10"/>
      <c r="K30" s="165"/>
      <c r="L30" s="110"/>
    </row>
    <row r="31" spans="2:13" ht="20.399999999999999">
      <c r="B31" s="5"/>
      <c r="C31" s="137"/>
      <c r="D31" s="121"/>
      <c r="E31" s="150" t="s">
        <v>67</v>
      </c>
      <c r="F31" s="151">
        <v>0</v>
      </c>
      <c r="G31" s="25"/>
      <c r="H31" s="10"/>
      <c r="L31" s="110"/>
      <c r="M31" s="110"/>
    </row>
    <row r="32" spans="2:13" ht="20.399999999999999">
      <c r="B32" s="5"/>
      <c r="C32" s="137"/>
      <c r="D32" s="121"/>
      <c r="E32" s="150" t="s">
        <v>68</v>
      </c>
      <c r="F32" s="151">
        <v>0</v>
      </c>
      <c r="G32" s="25"/>
      <c r="H32" s="10"/>
      <c r="L32" s="110"/>
    </row>
    <row r="33" spans="2:13" ht="20.399999999999999">
      <c r="B33" s="5"/>
      <c r="C33" s="137"/>
      <c r="D33" s="121"/>
      <c r="E33" s="150" t="s">
        <v>75</v>
      </c>
      <c r="F33" s="151">
        <v>0</v>
      </c>
      <c r="G33" s="25"/>
      <c r="H33" s="10"/>
      <c r="M33" s="110"/>
    </row>
    <row r="34" spans="2:13" ht="20.399999999999999">
      <c r="B34" s="5"/>
      <c r="C34" s="137"/>
      <c r="D34" s="121"/>
      <c r="E34" s="150" t="s">
        <v>86</v>
      </c>
      <c r="F34" s="151">
        <v>0</v>
      </c>
      <c r="G34" s="25"/>
      <c r="H34" s="10"/>
    </row>
    <row r="35" spans="2:13" ht="20.399999999999999">
      <c r="B35" s="5"/>
      <c r="C35" s="137"/>
      <c r="D35" s="121"/>
      <c r="E35" s="150" t="s">
        <v>91</v>
      </c>
      <c r="F35" s="140">
        <v>136432.65</v>
      </c>
      <c r="G35" s="25"/>
      <c r="H35" s="10"/>
    </row>
    <row r="36" spans="2:13" ht="20.399999999999999">
      <c r="B36" s="5"/>
      <c r="C36" s="137"/>
      <c r="D36" s="121"/>
      <c r="E36" s="149" t="s">
        <v>92</v>
      </c>
      <c r="F36" s="140">
        <v>1992067.35</v>
      </c>
      <c r="G36" s="25"/>
      <c r="H36" s="10"/>
    </row>
    <row r="37" spans="2:13" ht="19.8">
      <c r="B37" s="5"/>
      <c r="C37" s="22"/>
      <c r="D37" s="24"/>
      <c r="E37" s="24"/>
      <c r="F37" s="141">
        <v>0</v>
      </c>
      <c r="G37" s="25"/>
      <c r="H37" s="10"/>
      <c r="M37" s="110"/>
    </row>
    <row r="38" spans="2:13" ht="21">
      <c r="B38" s="5"/>
      <c r="C38" s="22"/>
      <c r="D38" s="24"/>
      <c r="E38" s="162" t="s">
        <v>25</v>
      </c>
      <c r="F38" s="144">
        <f>F28-SUM(F29:F37)</f>
        <v>0</v>
      </c>
      <c r="G38" s="25"/>
      <c r="H38" s="10"/>
    </row>
    <row r="39" spans="2:13" ht="19.8">
      <c r="B39" s="5"/>
      <c r="C39" s="163"/>
      <c r="D39" s="164"/>
      <c r="E39" s="164"/>
      <c r="F39" s="164"/>
      <c r="G39" s="46"/>
      <c r="H39" s="10"/>
    </row>
    <row r="40" spans="2:13" ht="20.399999999999999">
      <c r="B40" s="5"/>
      <c r="C40" s="288" t="s">
        <v>26</v>
      </c>
      <c r="D40" s="289"/>
      <c r="E40" s="289"/>
      <c r="F40" s="82">
        <f>F25+F28</f>
        <v>83866567.349999994</v>
      </c>
      <c r="G40" s="83">
        <f>G10-F40</f>
        <v>669264025.70500004</v>
      </c>
      <c r="H40" s="10"/>
    </row>
    <row r="41" spans="2:13" ht="20.399999999999999">
      <c r="B41" s="5"/>
      <c r="C41" s="84" t="s">
        <v>27</v>
      </c>
      <c r="D41" s="85"/>
      <c r="E41" s="86"/>
      <c r="F41" s="87"/>
      <c r="G41" s="42"/>
      <c r="H41" s="10"/>
    </row>
    <row r="42" spans="2:13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3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3" ht="20.399999999999999">
      <c r="B44" s="5"/>
      <c r="C44" s="92" t="s">
        <v>31</v>
      </c>
      <c r="D44" s="93" t="s">
        <v>1</v>
      </c>
      <c r="E44" s="94" t="s">
        <v>32</v>
      </c>
      <c r="F44" s="290" t="s">
        <v>50</v>
      </c>
      <c r="G44" s="291"/>
      <c r="H44" s="10"/>
    </row>
    <row r="45" spans="2:13" ht="6" customHeight="1">
      <c r="B45" s="95"/>
      <c r="C45" s="96"/>
      <c r="D45" s="96"/>
      <c r="E45" s="96"/>
      <c r="F45" s="96"/>
      <c r="G45" s="96"/>
      <c r="H45" s="97"/>
    </row>
    <row r="46" spans="2:13" ht="18.600000000000001">
      <c r="C46" s="98"/>
      <c r="D46" s="98"/>
      <c r="E46" s="98"/>
      <c r="F46" s="98"/>
      <c r="G46" s="98"/>
    </row>
    <row r="47" spans="2:13" ht="19.8">
      <c r="C47" s="99" t="s">
        <v>34</v>
      </c>
      <c r="D47" s="100"/>
      <c r="E47" s="101"/>
      <c r="F47" s="102"/>
      <c r="G47" s="98"/>
    </row>
    <row r="48" spans="2:13" ht="19.8">
      <c r="C48" s="99"/>
      <c r="D48" s="100"/>
      <c r="E48" s="101"/>
      <c r="F48" s="104">
        <v>15000000</v>
      </c>
      <c r="G48" s="98"/>
    </row>
    <row r="49" spans="3:7" ht="19.8">
      <c r="C49" s="99" t="s">
        <v>36</v>
      </c>
      <c r="D49" s="100"/>
      <c r="E49" s="101">
        <v>75313059305.5</v>
      </c>
      <c r="F49" s="106"/>
      <c r="G49" s="98"/>
    </row>
    <row r="50" spans="3:7" ht="19.8">
      <c r="C50" s="107">
        <v>0.01</v>
      </c>
      <c r="D50" s="100"/>
      <c r="E50" s="101">
        <f>E49*C50</f>
        <v>753130593.05500007</v>
      </c>
      <c r="F50" s="108"/>
      <c r="G50" s="9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8">
    <mergeCell ref="C26:E26"/>
    <mergeCell ref="C40:E40"/>
    <mergeCell ref="F44:G44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M53"/>
  <sheetViews>
    <sheetView zoomScale="70" zoomScaleNormal="70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93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90050095.199999988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94</v>
      </c>
      <c r="F6" s="11" t="s">
        <v>9</v>
      </c>
      <c r="G6" s="14">
        <f>G4-G5</f>
        <v>663080497.85500002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0.88043229682820257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31"/>
      <c r="D25" s="132"/>
      <c r="E25" s="133" t="s">
        <v>90</v>
      </c>
      <c r="F25" s="134">
        <f>+LK.11!F28</f>
        <v>2128500</v>
      </c>
      <c r="G25" s="145"/>
      <c r="H25" s="10"/>
    </row>
    <row r="26" spans="2:13" ht="20.399999999999999">
      <c r="B26" s="5"/>
      <c r="C26" s="47"/>
      <c r="D26" s="48"/>
      <c r="E26" s="49" t="s">
        <v>18</v>
      </c>
      <c r="F26" s="50">
        <f>SUM(F15:F25)</f>
        <v>83866567.349999994</v>
      </c>
      <c r="G26" s="51">
        <f>G10-F26</f>
        <v>669264025.70500004</v>
      </c>
      <c r="H26" s="10"/>
    </row>
    <row r="27" spans="2:13" ht="20.399999999999999">
      <c r="B27" s="5"/>
      <c r="C27" s="292" t="s">
        <v>19</v>
      </c>
      <c r="D27" s="293"/>
      <c r="E27" s="293"/>
      <c r="F27" s="135"/>
      <c r="G27" s="39"/>
      <c r="H27" s="10"/>
    </row>
    <row r="28" spans="2:13" ht="20.399999999999999">
      <c r="B28" s="5"/>
      <c r="C28" s="120" t="s">
        <v>20</v>
      </c>
      <c r="D28" s="136" t="s">
        <v>95</v>
      </c>
      <c r="E28" s="136" t="s">
        <v>22</v>
      </c>
      <c r="F28" s="24"/>
      <c r="G28" s="25"/>
      <c r="H28" s="10"/>
    </row>
    <row r="29" spans="2:13" ht="20.399999999999999">
      <c r="B29" s="5"/>
      <c r="C29" s="137">
        <v>44846</v>
      </c>
      <c r="D29" s="121" t="s">
        <v>23</v>
      </c>
      <c r="E29" s="138" t="s">
        <v>96</v>
      </c>
      <c r="F29" s="139">
        <v>6183527.8499999996</v>
      </c>
      <c r="G29" s="25"/>
      <c r="H29" s="10"/>
    </row>
    <row r="30" spans="2:13" ht="20.399999999999999">
      <c r="B30" s="5"/>
      <c r="C30" s="137">
        <v>44673</v>
      </c>
      <c r="D30" s="121"/>
      <c r="E30" s="150" t="s">
        <v>45</v>
      </c>
      <c r="F30" s="151">
        <v>0</v>
      </c>
      <c r="G30" s="25"/>
      <c r="H30" s="10"/>
    </row>
    <row r="31" spans="2:13" ht="20.399999999999999">
      <c r="B31" s="5"/>
      <c r="C31" s="137"/>
      <c r="D31" s="121"/>
      <c r="E31" s="150" t="s">
        <v>54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67</v>
      </c>
      <c r="F32" s="151">
        <v>0</v>
      </c>
      <c r="G32" s="25"/>
      <c r="H32" s="10"/>
      <c r="L32" s="110"/>
      <c r="M32" s="110"/>
    </row>
    <row r="33" spans="2:13" ht="20.399999999999999">
      <c r="B33" s="5"/>
      <c r="C33" s="137"/>
      <c r="D33" s="121"/>
      <c r="E33" s="150" t="s">
        <v>68</v>
      </c>
      <c r="F33" s="151">
        <v>0</v>
      </c>
      <c r="G33" s="25"/>
      <c r="H33" s="10"/>
      <c r="L33" s="110"/>
      <c r="M33" s="110"/>
    </row>
    <row r="34" spans="2:13" ht="20.399999999999999">
      <c r="B34" s="5"/>
      <c r="C34" s="137"/>
      <c r="D34" s="121"/>
      <c r="E34" s="150" t="s">
        <v>75</v>
      </c>
      <c r="F34" s="151">
        <v>0</v>
      </c>
      <c r="G34" s="25"/>
      <c r="H34" s="10"/>
      <c r="M34" s="110"/>
    </row>
    <row r="35" spans="2:13" ht="20.399999999999999">
      <c r="B35" s="5"/>
      <c r="C35" s="137"/>
      <c r="D35" s="121"/>
      <c r="E35" s="150" t="s">
        <v>86</v>
      </c>
      <c r="F35" s="151">
        <v>0</v>
      </c>
      <c r="G35" s="25"/>
      <c r="H35" s="10"/>
    </row>
    <row r="36" spans="2:13" ht="20.399999999999999">
      <c r="B36" s="5"/>
      <c r="C36" s="137"/>
      <c r="D36" s="121"/>
      <c r="E36" s="150" t="s">
        <v>91</v>
      </c>
      <c r="F36" s="151">
        <v>0</v>
      </c>
      <c r="G36" s="25"/>
      <c r="H36" s="10"/>
    </row>
    <row r="37" spans="2:13" ht="20.399999999999999">
      <c r="B37" s="5"/>
      <c r="C37" s="137"/>
      <c r="D37" s="121"/>
      <c r="E37" s="149" t="s">
        <v>97</v>
      </c>
      <c r="F37" s="140">
        <v>6183527.8499999996</v>
      </c>
      <c r="G37" s="25"/>
      <c r="H37" s="10"/>
    </row>
    <row r="38" spans="2:13" ht="19.8">
      <c r="B38" s="5"/>
      <c r="C38" s="22"/>
      <c r="D38" s="24"/>
      <c r="E38" s="24"/>
      <c r="F38" s="141">
        <v>0</v>
      </c>
      <c r="G38" s="25"/>
      <c r="H38" s="10"/>
      <c r="M38" s="110"/>
    </row>
    <row r="39" spans="2:13" ht="21">
      <c r="B39" s="5"/>
      <c r="C39" s="142"/>
      <c r="D39" s="76"/>
      <c r="E39" s="143" t="s">
        <v>25</v>
      </c>
      <c r="F39" s="144">
        <f>F29-SUM(F30:F38)</f>
        <v>0</v>
      </c>
      <c r="G39" s="79"/>
      <c r="H39" s="10"/>
    </row>
    <row r="40" spans="2:13" ht="18.600000000000001">
      <c r="B40" s="5"/>
      <c r="C40" s="80"/>
      <c r="D40" s="48"/>
      <c r="E40" s="48"/>
      <c r="F40" s="48"/>
      <c r="G40" s="81"/>
      <c r="H40" s="10"/>
    </row>
    <row r="41" spans="2:13" ht="20.399999999999999">
      <c r="B41" s="5"/>
      <c r="C41" s="288" t="s">
        <v>26</v>
      </c>
      <c r="D41" s="289"/>
      <c r="E41" s="289"/>
      <c r="F41" s="82">
        <f>F26+F29</f>
        <v>90050095.199999988</v>
      </c>
      <c r="G41" s="83">
        <f>G10-F41</f>
        <v>663080497.85500002</v>
      </c>
      <c r="H41" s="10"/>
    </row>
    <row r="42" spans="2:13" ht="20.399999999999999">
      <c r="B42" s="5"/>
      <c r="C42" s="84" t="s">
        <v>27</v>
      </c>
      <c r="D42" s="85"/>
      <c r="E42" s="86"/>
      <c r="F42" s="87"/>
      <c r="G42" s="42"/>
      <c r="H42" s="10"/>
    </row>
    <row r="43" spans="2:13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3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3" ht="20.399999999999999">
      <c r="B45" s="5"/>
      <c r="C45" s="92" t="s">
        <v>31</v>
      </c>
      <c r="D45" s="93" t="s">
        <v>1</v>
      </c>
      <c r="E45" s="94" t="s">
        <v>32</v>
      </c>
      <c r="F45" s="290" t="s">
        <v>50</v>
      </c>
      <c r="G45" s="291"/>
      <c r="H45" s="10"/>
    </row>
    <row r="46" spans="2:13" ht="6" customHeight="1">
      <c r="B46" s="95"/>
      <c r="C46" s="96"/>
      <c r="D46" s="96"/>
      <c r="E46" s="96"/>
      <c r="F46" s="96"/>
      <c r="G46" s="96"/>
      <c r="H46" s="97"/>
    </row>
    <row r="47" spans="2:13" ht="18.600000000000001">
      <c r="C47" s="98"/>
      <c r="D47" s="98"/>
      <c r="E47" s="98"/>
      <c r="F47" s="98"/>
      <c r="G47" s="98"/>
    </row>
    <row r="48" spans="2:13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8">
    <mergeCell ref="C27:E27"/>
    <mergeCell ref="C41:E41"/>
    <mergeCell ref="F45:G45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98</v>
      </c>
      <c r="F4" s="6" t="s">
        <v>3</v>
      </c>
      <c r="G4" s="9">
        <f>+E46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99267946.199999988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99</v>
      </c>
      <c r="F6" s="11" t="s">
        <v>9</v>
      </c>
      <c r="G6" s="14">
        <f>G4-G5</f>
        <v>653862646.85500002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0.86819291751603211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13" ht="20.399999999999999">
      <c r="B26" s="5"/>
      <c r="C26" s="43"/>
      <c r="D26" s="146"/>
      <c r="E26" s="147" t="s">
        <v>100</v>
      </c>
      <c r="F26" s="148">
        <f>+LK.12!F29</f>
        <v>6183527.8499999996</v>
      </c>
      <c r="G26" s="46"/>
      <c r="H26" s="10"/>
    </row>
    <row r="27" spans="2:13" ht="20.399999999999999">
      <c r="B27" s="5"/>
      <c r="C27" s="47"/>
      <c r="D27" s="48"/>
      <c r="E27" s="49" t="s">
        <v>18</v>
      </c>
      <c r="F27" s="50">
        <f>SUM(F15:F26)</f>
        <v>90050095.199999988</v>
      </c>
      <c r="G27" s="51">
        <f>G10-F27</f>
        <v>663080497.85500002</v>
      </c>
      <c r="H27" s="10"/>
    </row>
    <row r="28" spans="2:13" ht="20.399999999999999">
      <c r="B28" s="5"/>
      <c r="C28" s="292" t="s">
        <v>19</v>
      </c>
      <c r="D28" s="293"/>
      <c r="E28" s="293"/>
      <c r="F28" s="135"/>
      <c r="G28" s="39"/>
      <c r="H28" s="10"/>
    </row>
    <row r="29" spans="2:13" ht="20.399999999999999">
      <c r="B29" s="5"/>
      <c r="C29" s="120" t="s">
        <v>20</v>
      </c>
      <c r="D29" s="136" t="s">
        <v>95</v>
      </c>
      <c r="E29" s="136" t="s">
        <v>22</v>
      </c>
      <c r="F29" s="24"/>
      <c r="G29" s="25"/>
      <c r="H29" s="10"/>
    </row>
    <row r="30" spans="2:13" ht="20.399999999999999">
      <c r="B30" s="5"/>
      <c r="C30" s="137">
        <v>44875</v>
      </c>
      <c r="D30" s="121" t="s">
        <v>23</v>
      </c>
      <c r="E30" s="138" t="s">
        <v>101</v>
      </c>
      <c r="F30" s="139">
        <v>9217851</v>
      </c>
      <c r="G30" s="25"/>
      <c r="H30" s="10"/>
    </row>
    <row r="31" spans="2:13" ht="20.399999999999999">
      <c r="B31" s="5"/>
      <c r="C31" s="137"/>
      <c r="D31" s="121"/>
      <c r="E31" s="149" t="s">
        <v>102</v>
      </c>
      <c r="F31" s="140">
        <v>6824404.7999999998</v>
      </c>
      <c r="G31" s="25"/>
      <c r="H31" s="10"/>
      <c r="M31" s="110">
        <f>14000000-F32</f>
        <v>11606553.800000001</v>
      </c>
    </row>
    <row r="32" spans="2:13" ht="20.399999999999999">
      <c r="B32" s="5"/>
      <c r="C32" s="137"/>
      <c r="D32" s="121"/>
      <c r="E32" s="68" t="s">
        <v>103</v>
      </c>
      <c r="F32" s="140">
        <v>2393446.2000000002</v>
      </c>
      <c r="G32" s="25"/>
      <c r="H32" s="10"/>
    </row>
    <row r="33" spans="2:13" ht="19.8">
      <c r="B33" s="5"/>
      <c r="C33" s="22"/>
      <c r="D33" s="24"/>
      <c r="E33" s="24"/>
      <c r="F33" s="141">
        <v>0</v>
      </c>
      <c r="G33" s="25"/>
      <c r="H33" s="10"/>
      <c r="M33" s="110"/>
    </row>
    <row r="34" spans="2:13" ht="21">
      <c r="B34" s="5"/>
      <c r="C34" s="142"/>
      <c r="D34" s="76"/>
      <c r="E34" s="143" t="s">
        <v>25</v>
      </c>
      <c r="F34" s="144">
        <f>F30-SUM(F31:F33)</f>
        <v>0</v>
      </c>
      <c r="G34" s="79"/>
      <c r="H34" s="10"/>
    </row>
    <row r="35" spans="2:13" ht="18.600000000000001">
      <c r="B35" s="5"/>
      <c r="C35" s="80"/>
      <c r="D35" s="48"/>
      <c r="E35" s="48"/>
      <c r="F35" s="48"/>
      <c r="G35" s="81"/>
      <c r="H35" s="10"/>
    </row>
    <row r="36" spans="2:13" ht="20.399999999999999">
      <c r="B36" s="5"/>
      <c r="C36" s="288" t="s">
        <v>26</v>
      </c>
      <c r="D36" s="289"/>
      <c r="E36" s="289"/>
      <c r="F36" s="82">
        <f>F27+F30</f>
        <v>99267946.199999988</v>
      </c>
      <c r="G36" s="83">
        <f>G10-F36</f>
        <v>653862646.85500002</v>
      </c>
      <c r="H36" s="10"/>
    </row>
    <row r="37" spans="2:13" ht="20.399999999999999">
      <c r="B37" s="5"/>
      <c r="C37" s="84" t="s">
        <v>27</v>
      </c>
      <c r="D37" s="85"/>
      <c r="E37" s="86"/>
      <c r="F37" s="87"/>
      <c r="G37" s="42"/>
      <c r="H37" s="10"/>
    </row>
    <row r="38" spans="2:13" ht="21">
      <c r="B38" s="5"/>
      <c r="C38" s="88" t="s">
        <v>28</v>
      </c>
      <c r="D38" s="89" t="s">
        <v>1</v>
      </c>
      <c r="E38" s="90">
        <f>F34</f>
        <v>0</v>
      </c>
      <c r="F38" s="87"/>
      <c r="G38" s="42"/>
      <c r="H38" s="10"/>
    </row>
    <row r="39" spans="2:13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3" ht="20.399999999999999">
      <c r="B40" s="5"/>
      <c r="C40" s="92" t="s">
        <v>31</v>
      </c>
      <c r="D40" s="93" t="s">
        <v>1</v>
      </c>
      <c r="E40" s="94" t="s">
        <v>32</v>
      </c>
      <c r="F40" s="290" t="s">
        <v>50</v>
      </c>
      <c r="G40" s="291"/>
      <c r="H40" s="10"/>
    </row>
    <row r="41" spans="2:13" ht="6" customHeight="1">
      <c r="B41" s="95"/>
      <c r="C41" s="96"/>
      <c r="D41" s="96"/>
      <c r="E41" s="96"/>
      <c r="F41" s="96"/>
      <c r="G41" s="96"/>
      <c r="H41" s="97"/>
    </row>
    <row r="42" spans="2:13" ht="18.600000000000001">
      <c r="C42" s="98"/>
      <c r="D42" s="98"/>
      <c r="E42" s="98"/>
      <c r="F42" s="98"/>
      <c r="G42" s="98"/>
    </row>
    <row r="43" spans="2:13" ht="19.8">
      <c r="C43" s="99" t="s">
        <v>34</v>
      </c>
      <c r="D43" s="100"/>
      <c r="E43" s="101"/>
      <c r="F43" s="102"/>
      <c r="G43" s="98"/>
    </row>
    <row r="44" spans="2:13" ht="19.8">
      <c r="C44" s="99"/>
      <c r="D44" s="100"/>
      <c r="E44" s="101"/>
      <c r="F44" s="103" t="s">
        <v>35</v>
      </c>
      <c r="G44" s="104">
        <v>15000000</v>
      </c>
    </row>
    <row r="45" spans="2:13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3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3" ht="18.600000000000001">
      <c r="C47" s="98"/>
      <c r="D47" s="98"/>
      <c r="E47" s="98"/>
      <c r="F47" s="98"/>
      <c r="G47" s="98"/>
    </row>
    <row r="48" spans="2:13" ht="18.600000000000001">
      <c r="C48" s="98"/>
      <c r="D48" s="98"/>
      <c r="E48" s="98"/>
      <c r="F48" s="98"/>
      <c r="G48" s="98"/>
    </row>
  </sheetData>
  <mergeCells count="8">
    <mergeCell ref="C28:E28"/>
    <mergeCell ref="C36:E36"/>
    <mergeCell ref="F40:G40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104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116586045.74999999</v>
      </c>
      <c r="H5" s="10"/>
    </row>
    <row r="6" spans="2:8" ht="21">
      <c r="B6" s="5"/>
      <c r="C6" s="11" t="s">
        <v>7</v>
      </c>
      <c r="D6" s="12" t="s">
        <v>1</v>
      </c>
      <c r="E6" s="15" t="s">
        <v>105</v>
      </c>
      <c r="F6" s="11" t="s">
        <v>9</v>
      </c>
      <c r="G6" s="14">
        <f>G4-G5</f>
        <v>636544547.30500007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0.84519810133182849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31"/>
      <c r="D27" s="132"/>
      <c r="E27" s="133" t="s">
        <v>101</v>
      </c>
      <c r="F27" s="134">
        <f>+LK.13!F30</f>
        <v>9217851</v>
      </c>
      <c r="G27" s="145"/>
      <c r="H27" s="10"/>
    </row>
    <row r="28" spans="2:8" ht="20.399999999999999">
      <c r="B28" s="5"/>
      <c r="C28" s="47"/>
      <c r="D28" s="48"/>
      <c r="E28" s="49" t="s">
        <v>18</v>
      </c>
      <c r="F28" s="50">
        <f>SUM(F15:F27)</f>
        <v>99267946.199999988</v>
      </c>
      <c r="G28" s="51">
        <f>G10-F28</f>
        <v>653862646.85500002</v>
      </c>
      <c r="H28" s="10"/>
    </row>
    <row r="29" spans="2:8" ht="20.399999999999999">
      <c r="B29" s="5"/>
      <c r="C29" s="292" t="s">
        <v>19</v>
      </c>
      <c r="D29" s="293"/>
      <c r="E29" s="293"/>
      <c r="F29" s="135"/>
      <c r="G29" s="39"/>
      <c r="H29" s="10"/>
    </row>
    <row r="30" spans="2:8" ht="20.399999999999999">
      <c r="B30" s="5"/>
      <c r="C30" s="120" t="s">
        <v>20</v>
      </c>
      <c r="D30" s="136" t="s">
        <v>95</v>
      </c>
      <c r="E30" s="136" t="s">
        <v>22</v>
      </c>
      <c r="F30" s="24"/>
      <c r="G30" s="25"/>
      <c r="H30" s="10"/>
    </row>
    <row r="31" spans="2:8" ht="20.399999999999999">
      <c r="B31" s="5"/>
      <c r="C31" s="137">
        <v>44875</v>
      </c>
      <c r="D31" s="121" t="s">
        <v>23</v>
      </c>
      <c r="E31" s="138" t="s">
        <v>106</v>
      </c>
      <c r="F31" s="139">
        <v>17318099.550000001</v>
      </c>
      <c r="G31" s="25"/>
      <c r="H31" s="10"/>
    </row>
    <row r="32" spans="2:8" ht="20.399999999999999">
      <c r="B32" s="5"/>
      <c r="C32" s="137"/>
      <c r="D32" s="121"/>
      <c r="E32" s="68" t="s">
        <v>107</v>
      </c>
      <c r="F32" s="140">
        <v>11606553.800000001</v>
      </c>
      <c r="G32" s="25"/>
      <c r="H32" s="10"/>
    </row>
    <row r="33" spans="2:13" ht="20.399999999999999">
      <c r="B33" s="5"/>
      <c r="C33" s="137"/>
      <c r="D33" s="121"/>
      <c r="E33" s="68" t="s">
        <v>108</v>
      </c>
      <c r="F33" s="140">
        <v>4500000</v>
      </c>
      <c r="G33" s="25"/>
      <c r="H33" s="10"/>
      <c r="M33" s="110">
        <f>14000000-F34</f>
        <v>12788454.25</v>
      </c>
    </row>
    <row r="34" spans="2:13" ht="20.399999999999999">
      <c r="B34" s="5"/>
      <c r="C34" s="137"/>
      <c r="D34" s="121"/>
      <c r="E34" s="68" t="s">
        <v>109</v>
      </c>
      <c r="F34" s="140">
        <v>1211545.75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142"/>
      <c r="D36" s="76"/>
      <c r="E36" s="143" t="s">
        <v>25</v>
      </c>
      <c r="F36" s="144">
        <f>F31-SUM(F32:F35)</f>
        <v>0</v>
      </c>
      <c r="G36" s="79"/>
      <c r="H36" s="10"/>
    </row>
    <row r="37" spans="2:13" ht="18.600000000000001">
      <c r="B37" s="5"/>
      <c r="C37" s="80"/>
      <c r="D37" s="48"/>
      <c r="E37" s="48"/>
      <c r="F37" s="48"/>
      <c r="G37" s="81"/>
      <c r="H37" s="10"/>
    </row>
    <row r="38" spans="2:13" ht="20.399999999999999">
      <c r="B38" s="5"/>
      <c r="C38" s="288" t="s">
        <v>26</v>
      </c>
      <c r="D38" s="289"/>
      <c r="E38" s="289"/>
      <c r="F38" s="82">
        <f>F28+F31</f>
        <v>116586045.74999999</v>
      </c>
      <c r="G38" s="83">
        <f>G10-F38</f>
        <v>636544547.30500007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90" t="s">
        <v>50</v>
      </c>
      <c r="G42" s="291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3" t="s">
        <v>35</v>
      </c>
      <c r="G46" s="104">
        <v>15000000</v>
      </c>
    </row>
    <row r="47" spans="2:13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3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9:E29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M49"/>
  <sheetViews>
    <sheetView view="pageBreakPreview" topLeftCell="B1" zoomScaleNormal="70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127847237.74999999</v>
      </c>
      <c r="H5" s="10"/>
    </row>
    <row r="6" spans="2:8" ht="21">
      <c r="B6" s="5"/>
      <c r="C6" s="11" t="s">
        <v>7</v>
      </c>
      <c r="D6" s="12" t="s">
        <v>1</v>
      </c>
      <c r="E6" s="15" t="s">
        <v>111</v>
      </c>
      <c r="F6" s="11" t="s">
        <v>9</v>
      </c>
      <c r="G6" s="14">
        <f>G4-G5</f>
        <v>625283355.30500007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0.83024559229309713</v>
      </c>
      <c r="H7" s="10"/>
    </row>
    <row r="8" spans="2:8" ht="6" customHeight="1">
      <c r="B8" s="5"/>
      <c r="H8" s="10"/>
    </row>
    <row r="9" spans="2:8" ht="20.399999999999999">
      <c r="B9" s="5"/>
      <c r="C9" s="267" t="s">
        <v>11</v>
      </c>
      <c r="D9" s="268"/>
      <c r="E9" s="268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84" t="s">
        <v>15</v>
      </c>
      <c r="D11" s="285"/>
      <c r="E11" s="285"/>
      <c r="F11" s="24"/>
      <c r="G11" s="25"/>
      <c r="H11" s="10"/>
    </row>
    <row r="12" spans="2:8" ht="19.8">
      <c r="B12" s="5"/>
      <c r="C12" s="122">
        <v>1</v>
      </c>
      <c r="D12" s="294" t="s">
        <v>16</v>
      </c>
      <c r="E12" s="294"/>
      <c r="F12" s="124">
        <v>0</v>
      </c>
      <c r="G12" s="39"/>
      <c r="H12" s="10"/>
    </row>
    <row r="13" spans="2:8" ht="19.8">
      <c r="B13" s="5"/>
      <c r="C13" s="22"/>
      <c r="D13" s="286"/>
      <c r="E13" s="286"/>
      <c r="F13" s="24"/>
      <c r="G13" s="25"/>
      <c r="H13" s="10"/>
    </row>
    <row r="14" spans="2:8" ht="20.399999999999999">
      <c r="B14" s="5"/>
      <c r="C14" s="284" t="s">
        <v>17</v>
      </c>
      <c r="D14" s="285"/>
      <c r="E14" s="285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20"/>
      <c r="D27" s="121"/>
      <c r="E27" s="130" t="s">
        <v>101</v>
      </c>
      <c r="F27" s="126">
        <f>+LK.13!F30</f>
        <v>9217851</v>
      </c>
      <c r="G27" s="25"/>
      <c r="H27" s="10"/>
    </row>
    <row r="28" spans="2:8" ht="20.399999999999999">
      <c r="B28" s="5"/>
      <c r="C28" s="131"/>
      <c r="D28" s="132"/>
      <c r="E28" s="133" t="s">
        <v>112</v>
      </c>
      <c r="F28" s="134">
        <f>+LK.14!F31</f>
        <v>17318099.550000001</v>
      </c>
      <c r="G28" s="46"/>
      <c r="H28" s="10"/>
    </row>
    <row r="29" spans="2:8" ht="20.399999999999999">
      <c r="B29" s="5"/>
      <c r="C29" s="47"/>
      <c r="D29" s="48"/>
      <c r="E29" s="49" t="s">
        <v>18</v>
      </c>
      <c r="F29" s="50">
        <f>SUM(F15:F28)</f>
        <v>116586045.74999999</v>
      </c>
      <c r="G29" s="51">
        <f>G10-F29</f>
        <v>636544547.30500007</v>
      </c>
      <c r="H29" s="10"/>
    </row>
    <row r="30" spans="2:8" ht="20.399999999999999">
      <c r="B30" s="5"/>
      <c r="C30" s="292" t="s">
        <v>19</v>
      </c>
      <c r="D30" s="293"/>
      <c r="E30" s="293"/>
      <c r="F30" s="135"/>
      <c r="G30" s="39"/>
      <c r="H30" s="10"/>
    </row>
    <row r="31" spans="2:8" ht="20.399999999999999">
      <c r="B31" s="5"/>
      <c r="C31" s="120" t="s">
        <v>20</v>
      </c>
      <c r="D31" s="136" t="s">
        <v>95</v>
      </c>
      <c r="E31" s="136" t="s">
        <v>22</v>
      </c>
      <c r="F31" s="24"/>
      <c r="G31" s="25"/>
      <c r="H31" s="10"/>
    </row>
    <row r="32" spans="2:8" ht="20.399999999999999">
      <c r="B32" s="5"/>
      <c r="C32" s="137">
        <v>44875</v>
      </c>
      <c r="D32" s="121" t="s">
        <v>23</v>
      </c>
      <c r="E32" s="138" t="s">
        <v>113</v>
      </c>
      <c r="F32" s="139">
        <v>11261192</v>
      </c>
      <c r="G32" s="25"/>
      <c r="H32" s="10"/>
    </row>
    <row r="33" spans="2:13" ht="20.399999999999999">
      <c r="B33" s="5"/>
      <c r="C33" s="137"/>
      <c r="D33" s="121"/>
      <c r="E33" s="68" t="s">
        <v>114</v>
      </c>
      <c r="F33" s="140">
        <v>11261192</v>
      </c>
      <c r="G33" s="25"/>
      <c r="H33" s="10"/>
      <c r="L33" s="110">
        <f>12788454.25-F32</f>
        <v>1527262.25</v>
      </c>
    </row>
    <row r="34" spans="2:13" ht="19.8">
      <c r="B34" s="5"/>
      <c r="C34" s="22"/>
      <c r="D34" s="24"/>
      <c r="E34" s="24"/>
      <c r="F34" s="141">
        <v>0</v>
      </c>
      <c r="G34" s="25"/>
      <c r="H34" s="10"/>
      <c r="M34" s="110"/>
    </row>
    <row r="35" spans="2:13" ht="21">
      <c r="B35" s="5"/>
      <c r="C35" s="142"/>
      <c r="D35" s="76"/>
      <c r="E35" s="143" t="s">
        <v>25</v>
      </c>
      <c r="F35" s="144">
        <f>F32-SUM(F33:F34)</f>
        <v>0</v>
      </c>
      <c r="G35" s="79"/>
      <c r="H35" s="10"/>
    </row>
    <row r="36" spans="2:13" ht="18.600000000000001">
      <c r="B36" s="5"/>
      <c r="C36" s="80"/>
      <c r="D36" s="48"/>
      <c r="E36" s="48"/>
      <c r="F36" s="48"/>
      <c r="G36" s="81"/>
      <c r="H36" s="10"/>
    </row>
    <row r="37" spans="2:13" ht="20.399999999999999">
      <c r="B37" s="5"/>
      <c r="C37" s="288" t="s">
        <v>26</v>
      </c>
      <c r="D37" s="289"/>
      <c r="E37" s="289"/>
      <c r="F37" s="82">
        <f>F29+F32</f>
        <v>127847237.74999999</v>
      </c>
      <c r="G37" s="83">
        <f>G10-F37</f>
        <v>625283355.30500007</v>
      </c>
      <c r="H37" s="10"/>
    </row>
    <row r="38" spans="2:13" ht="20.399999999999999">
      <c r="B38" s="5"/>
      <c r="C38" s="84" t="s">
        <v>27</v>
      </c>
      <c r="D38" s="85"/>
      <c r="E38" s="86"/>
      <c r="F38" s="87"/>
      <c r="G38" s="42"/>
      <c r="H38" s="10"/>
    </row>
    <row r="39" spans="2:13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3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3" ht="20.399999999999999">
      <c r="B41" s="5"/>
      <c r="C41" s="92" t="s">
        <v>31</v>
      </c>
      <c r="D41" s="93" t="s">
        <v>1</v>
      </c>
      <c r="E41" s="94" t="s">
        <v>32</v>
      </c>
      <c r="F41" s="290" t="s">
        <v>50</v>
      </c>
      <c r="G41" s="291"/>
      <c r="H41" s="10"/>
    </row>
    <row r="42" spans="2:13" ht="6" customHeight="1">
      <c r="B42" s="95"/>
      <c r="C42" s="96"/>
      <c r="D42" s="96"/>
      <c r="E42" s="96"/>
      <c r="F42" s="96"/>
      <c r="G42" s="96"/>
      <c r="H42" s="97"/>
    </row>
    <row r="43" spans="2:13" ht="18.600000000000001">
      <c r="C43" s="98"/>
      <c r="D43" s="98"/>
      <c r="E43" s="98"/>
      <c r="F43" s="98"/>
      <c r="G43" s="98"/>
    </row>
    <row r="44" spans="2:13" ht="19.8">
      <c r="C44" s="99" t="s">
        <v>34</v>
      </c>
      <c r="D44" s="100"/>
      <c r="E44" s="101"/>
      <c r="F44" s="102"/>
      <c r="G44" s="98"/>
    </row>
    <row r="45" spans="2:13" ht="19.8">
      <c r="C45" s="99"/>
      <c r="D45" s="100"/>
      <c r="E45" s="101"/>
      <c r="F45" s="103" t="s">
        <v>35</v>
      </c>
      <c r="G45" s="104">
        <v>15000000</v>
      </c>
    </row>
    <row r="46" spans="2:13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3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3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8">
    <mergeCell ref="C30:E30"/>
    <mergeCell ref="C37:E37"/>
    <mergeCell ref="F41:G41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3:L47"/>
  <sheetViews>
    <sheetView view="pageBreakPreview" zoomScale="85" zoomScaleNormal="85" workbookViewId="0">
      <selection activeCell="D20" sqref="D20:E2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135524571.75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617606021.30500007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0.82005169754124851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113" t="s">
        <v>130</v>
      </c>
      <c r="D20" s="303" t="s">
        <v>131</v>
      </c>
      <c r="E20" s="304"/>
      <c r="F20" s="114">
        <f>+LK.15!F32</f>
        <v>11261192</v>
      </c>
      <c r="G20" s="25"/>
      <c r="H20" s="10"/>
    </row>
    <row r="21" spans="2:12" ht="5.4" customHeight="1">
      <c r="B21" s="5"/>
      <c r="C21" s="43"/>
      <c r="D21" s="44"/>
      <c r="E21" s="44"/>
      <c r="F21" s="45"/>
      <c r="G21" s="46"/>
      <c r="H21" s="10"/>
    </row>
    <row r="22" spans="2:12" ht="20.399999999999999">
      <c r="B22" s="5"/>
      <c r="C22" s="47"/>
      <c r="D22" s="48"/>
      <c r="E22" s="49" t="s">
        <v>18</v>
      </c>
      <c r="F22" s="50">
        <f>SUM(F12:F20)</f>
        <v>127847237.75</v>
      </c>
      <c r="G22" s="51">
        <f>G4-F22</f>
        <v>625283355.30500007</v>
      </c>
      <c r="H22" s="10"/>
    </row>
    <row r="23" spans="2:12" ht="5.4" customHeight="1">
      <c r="B23" s="5"/>
      <c r="C23" s="52"/>
      <c r="D23" s="53"/>
      <c r="E23" s="54"/>
      <c r="F23" s="55"/>
      <c r="G23" s="56"/>
      <c r="H23" s="10"/>
    </row>
    <row r="24" spans="2:12" ht="21">
      <c r="B24" s="5"/>
      <c r="C24" s="57"/>
      <c r="D24" s="297" t="s">
        <v>132</v>
      </c>
      <c r="E24" s="305"/>
      <c r="F24" s="59">
        <v>0</v>
      </c>
      <c r="G24" s="60"/>
      <c r="H24" s="10"/>
    </row>
    <row r="25" spans="2:12" ht="6" customHeight="1">
      <c r="B25" s="5"/>
      <c r="C25" s="57"/>
      <c r="D25" s="27"/>
      <c r="E25" s="58"/>
      <c r="F25" s="59"/>
      <c r="G25" s="60"/>
      <c r="H25" s="10"/>
    </row>
    <row r="26" spans="2:12" ht="20.399999999999999">
      <c r="B26" s="5"/>
      <c r="C26" s="61" t="s">
        <v>20</v>
      </c>
      <c r="D26" s="306" t="s">
        <v>133</v>
      </c>
      <c r="E26" s="307"/>
      <c r="F26" s="62" t="s">
        <v>134</v>
      </c>
      <c r="G26" s="63" t="s">
        <v>135</v>
      </c>
      <c r="H26" s="10"/>
    </row>
    <row r="27" spans="2:12" ht="20.399999999999999">
      <c r="B27" s="5"/>
      <c r="C27" s="61"/>
      <c r="D27" s="308" t="s">
        <v>136</v>
      </c>
      <c r="E27" s="309"/>
      <c r="F27" s="64">
        <v>0</v>
      </c>
      <c r="G27" s="65">
        <v>0</v>
      </c>
      <c r="H27" s="10"/>
    </row>
    <row r="28" spans="2:12" ht="19.8">
      <c r="B28" s="5"/>
      <c r="C28" s="67" t="s">
        <v>137</v>
      </c>
      <c r="D28" s="310" t="s">
        <v>138</v>
      </c>
      <c r="E28" s="311"/>
      <c r="F28" s="115">
        <v>1527262.25</v>
      </c>
      <c r="G28" s="65">
        <v>0</v>
      </c>
      <c r="H28" s="10"/>
      <c r="L28" s="110"/>
    </row>
    <row r="29" spans="2:12" ht="19.8">
      <c r="B29" s="5"/>
      <c r="C29" s="67" t="s">
        <v>139</v>
      </c>
      <c r="D29" s="310" t="s">
        <v>140</v>
      </c>
      <c r="E29" s="311"/>
      <c r="F29" s="115">
        <v>6150071.75</v>
      </c>
      <c r="G29" s="116">
        <v>8849928.25</v>
      </c>
      <c r="H29" s="10"/>
      <c r="L29" s="110">
        <f>15000000-F29</f>
        <v>8849928.25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312" t="s">
        <v>141</v>
      </c>
      <c r="E31" s="307"/>
      <c r="F31" s="62"/>
      <c r="G31" s="72"/>
      <c r="H31" s="10"/>
      <c r="L31" s="110"/>
    </row>
    <row r="32" spans="2:12" ht="21">
      <c r="B32" s="5"/>
      <c r="C32" s="67">
        <v>44881</v>
      </c>
      <c r="D32" s="313" t="s">
        <v>142</v>
      </c>
      <c r="E32" s="314"/>
      <c r="F32" s="73">
        <v>7677334</v>
      </c>
      <c r="G32" s="74"/>
      <c r="H32" s="10"/>
    </row>
    <row r="33" spans="2:8" ht="21">
      <c r="B33" s="5"/>
      <c r="C33" s="75"/>
      <c r="D33" s="76"/>
      <c r="E33" s="77" t="s">
        <v>25</v>
      </c>
      <c r="F33" s="78">
        <f>F32-SUM(F28:F29)</f>
        <v>0</v>
      </c>
      <c r="G33" s="79"/>
      <c r="H33" s="10"/>
    </row>
    <row r="34" spans="2:8" ht="10.199999999999999" customHeight="1">
      <c r="B34" s="5"/>
      <c r="C34" s="80"/>
      <c r="D34" s="48"/>
      <c r="E34" s="48"/>
      <c r="F34" s="48"/>
      <c r="G34" s="81"/>
      <c r="H34" s="10"/>
    </row>
    <row r="35" spans="2:8" ht="20.399999999999999">
      <c r="B35" s="5"/>
      <c r="C35" s="288" t="s">
        <v>26</v>
      </c>
      <c r="D35" s="289"/>
      <c r="E35" s="289"/>
      <c r="F35" s="82">
        <f>F22+F32</f>
        <v>135524571.75</v>
      </c>
      <c r="G35" s="83">
        <f>G4-F35</f>
        <v>617606021.30500007</v>
      </c>
      <c r="H35" s="10"/>
    </row>
    <row r="36" spans="2:8" ht="20.399999999999999">
      <c r="B36" s="5"/>
      <c r="C36" s="84" t="s">
        <v>27</v>
      </c>
      <c r="D36" s="85"/>
      <c r="E36" s="86"/>
      <c r="F36" s="87"/>
      <c r="G36" s="42"/>
      <c r="H36" s="10"/>
    </row>
    <row r="37" spans="2:8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8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8" ht="20.399999999999999">
      <c r="B39" s="5"/>
      <c r="C39" s="92" t="s">
        <v>31</v>
      </c>
      <c r="D39" s="93" t="s">
        <v>1</v>
      </c>
      <c r="E39" s="94" t="s">
        <v>32</v>
      </c>
      <c r="F39" s="290" t="s">
        <v>50</v>
      </c>
      <c r="G39" s="291"/>
      <c r="H39" s="10"/>
    </row>
    <row r="40" spans="2:8" ht="6" customHeight="1">
      <c r="B40" s="95"/>
      <c r="C40" s="96"/>
      <c r="D40" s="96"/>
      <c r="E40" s="96"/>
      <c r="F40" s="96"/>
      <c r="G40" s="96"/>
      <c r="H40" s="97"/>
    </row>
    <row r="41" spans="2:8" ht="18.600000000000001">
      <c r="C41" s="98"/>
      <c r="D41" s="98"/>
      <c r="E41" s="98"/>
      <c r="F41" s="98"/>
      <c r="G41" s="98"/>
    </row>
    <row r="42" spans="2:8" ht="19.8">
      <c r="C42" s="99" t="s">
        <v>34</v>
      </c>
      <c r="D42" s="100"/>
      <c r="E42" s="101"/>
      <c r="F42" s="102"/>
      <c r="G42" s="98"/>
    </row>
    <row r="43" spans="2:8" ht="19.8">
      <c r="C43" s="99"/>
      <c r="D43" s="100"/>
      <c r="E43" s="101"/>
      <c r="F43" s="103" t="s">
        <v>35</v>
      </c>
      <c r="G43" s="104">
        <v>15000000</v>
      </c>
    </row>
    <row r="44" spans="2:8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8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8" ht="18.600000000000001">
      <c r="C46" s="98"/>
      <c r="D46" s="98"/>
      <c r="E46" s="98"/>
      <c r="F46" s="98"/>
      <c r="G46" s="98"/>
    </row>
    <row r="47" spans="2:8" ht="18.600000000000001">
      <c r="C47" s="98"/>
      <c r="D47" s="98"/>
      <c r="E47" s="98"/>
      <c r="F47" s="98"/>
      <c r="G47" s="98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0:E20"/>
    <mergeCell ref="D24:E24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3:L47"/>
  <sheetViews>
    <sheetView view="pageBreakPreview" topLeftCell="A12" zoomScale="85" zoomScaleNormal="85" workbookViewId="0">
      <selection activeCell="F28" sqref="F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142065571.75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611065021.30500007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0.81136661681246414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113" t="s">
        <v>145</v>
      </c>
      <c r="D20" s="303" t="s">
        <v>146</v>
      </c>
      <c r="E20" s="304"/>
      <c r="F20" s="114">
        <f>+LK.15!F32+LK.16!F32</f>
        <v>18938526</v>
      </c>
      <c r="G20" s="39"/>
      <c r="H20" s="10"/>
    </row>
    <row r="21" spans="2:12" ht="19.8">
      <c r="B21" s="5"/>
      <c r="C21" s="57"/>
      <c r="D21" s="315" t="s">
        <v>147</v>
      </c>
      <c r="E21" s="316"/>
      <c r="F21" s="57"/>
      <c r="G21" s="25"/>
      <c r="H21" s="10"/>
    </row>
    <row r="22" spans="2:12" ht="5.4" customHeight="1">
      <c r="B22" s="5"/>
      <c r="C22" s="43"/>
      <c r="D22" s="44"/>
      <c r="E22" s="44"/>
      <c r="F22" s="45"/>
      <c r="G22" s="46"/>
      <c r="H22" s="10"/>
    </row>
    <row r="23" spans="2:12" ht="20.399999999999999">
      <c r="B23" s="5"/>
      <c r="C23" s="47"/>
      <c r="D23" s="48"/>
      <c r="E23" s="49" t="s">
        <v>18</v>
      </c>
      <c r="F23" s="50">
        <f>SUM(F12:F21)</f>
        <v>135524571.75</v>
      </c>
      <c r="G23" s="51">
        <f>G4-F23</f>
        <v>617606021.30500007</v>
      </c>
      <c r="H23" s="10"/>
    </row>
    <row r="24" spans="2:12" ht="5.4" customHeight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297" t="s">
        <v>132</v>
      </c>
      <c r="E25" s="305"/>
      <c r="F25" s="59">
        <v>0</v>
      </c>
      <c r="G25" s="60"/>
      <c r="H25" s="10"/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06" t="s">
        <v>133</v>
      </c>
      <c r="E27" s="307"/>
      <c r="F27" s="62" t="s">
        <v>134</v>
      </c>
      <c r="G27" s="63" t="s">
        <v>135</v>
      </c>
      <c r="H27" s="10"/>
    </row>
    <row r="28" spans="2:12" ht="20.399999999999999">
      <c r="B28" s="5"/>
      <c r="C28" s="61"/>
      <c r="D28" s="308" t="s">
        <v>148</v>
      </c>
      <c r="E28" s="309"/>
      <c r="F28" s="64">
        <v>0</v>
      </c>
      <c r="G28" s="65">
        <v>0</v>
      </c>
      <c r="H28" s="10"/>
    </row>
    <row r="29" spans="2:12" ht="19.8">
      <c r="B29" s="5"/>
      <c r="C29" s="67" t="s">
        <v>139</v>
      </c>
      <c r="D29" s="310" t="s">
        <v>149</v>
      </c>
      <c r="E29" s="311"/>
      <c r="F29" s="115">
        <v>6541000</v>
      </c>
      <c r="G29" s="116">
        <v>2308928.25</v>
      </c>
      <c r="H29" s="10"/>
      <c r="L29" s="110">
        <f>15000000-F29</f>
        <v>8459000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312" t="s">
        <v>141</v>
      </c>
      <c r="E31" s="307"/>
      <c r="F31" s="62"/>
      <c r="G31" s="72"/>
      <c r="H31" s="10"/>
      <c r="L31" s="110"/>
    </row>
    <row r="32" spans="2:12" ht="21">
      <c r="B32" s="5"/>
      <c r="C32" s="67">
        <v>44909</v>
      </c>
      <c r="D32" s="313" t="s">
        <v>150</v>
      </c>
      <c r="E32" s="314"/>
      <c r="F32" s="73">
        <v>6541000</v>
      </c>
      <c r="G32" s="74"/>
      <c r="H32" s="10"/>
      <c r="L32" s="1">
        <f>114500000+14000000</f>
        <v>128500000</v>
      </c>
    </row>
    <row r="33" spans="2:12" ht="21">
      <c r="B33" s="5"/>
      <c r="C33" s="75"/>
      <c r="D33" s="76"/>
      <c r="E33" s="77" t="s">
        <v>25</v>
      </c>
      <c r="F33" s="78">
        <f>F32-SUM(F29:F29)</f>
        <v>0</v>
      </c>
      <c r="G33" s="79"/>
      <c r="H33" s="10"/>
    </row>
    <row r="34" spans="2:12" ht="10.199999999999999" customHeight="1">
      <c r="B34" s="5"/>
      <c r="C34" s="80"/>
      <c r="D34" s="48"/>
      <c r="E34" s="48"/>
      <c r="F34" s="48"/>
      <c r="G34" s="81"/>
      <c r="H34" s="10"/>
    </row>
    <row r="35" spans="2:12" ht="20.399999999999999">
      <c r="B35" s="5"/>
      <c r="C35" s="288" t="s">
        <v>26</v>
      </c>
      <c r="D35" s="289"/>
      <c r="E35" s="289"/>
      <c r="F35" s="82">
        <f>F23+F32</f>
        <v>142065571.75</v>
      </c>
      <c r="G35" s="83">
        <f>G4-F35</f>
        <v>611065021.30500007</v>
      </c>
      <c r="H35" s="10"/>
      <c r="L35" s="1">
        <f>15000000-6541000-6150071.75</f>
        <v>2308928.25</v>
      </c>
    </row>
    <row r="36" spans="2:12" ht="20.399999999999999">
      <c r="B36" s="5"/>
      <c r="C36" s="84" t="s">
        <v>27</v>
      </c>
      <c r="D36" s="85"/>
      <c r="E36" s="86"/>
      <c r="F36" s="87"/>
      <c r="G36" s="42"/>
      <c r="H36" s="10"/>
    </row>
    <row r="37" spans="2:12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12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12" ht="20.399999999999999">
      <c r="B39" s="5"/>
      <c r="C39" s="92" t="s">
        <v>31</v>
      </c>
      <c r="D39" s="93" t="s">
        <v>1</v>
      </c>
      <c r="E39" s="94" t="s">
        <v>32</v>
      </c>
      <c r="F39" s="290" t="s">
        <v>50</v>
      </c>
      <c r="G39" s="291"/>
      <c r="H39" s="10"/>
    </row>
    <row r="40" spans="2:12" ht="6" customHeight="1">
      <c r="B40" s="95"/>
      <c r="C40" s="96"/>
      <c r="D40" s="96"/>
      <c r="E40" s="96"/>
      <c r="F40" s="96"/>
      <c r="G40" s="96"/>
      <c r="H40" s="97"/>
    </row>
    <row r="41" spans="2:12" ht="18.600000000000001">
      <c r="C41" s="98"/>
      <c r="D41" s="98"/>
      <c r="E41" s="98"/>
      <c r="F41" s="98"/>
      <c r="G41" s="98"/>
    </row>
    <row r="42" spans="2:12" ht="19.8">
      <c r="C42" s="99" t="s">
        <v>34</v>
      </c>
      <c r="D42" s="100"/>
      <c r="E42" s="101"/>
      <c r="F42" s="102"/>
      <c r="G42" s="98"/>
    </row>
    <row r="43" spans="2:12" ht="19.8">
      <c r="C43" s="99"/>
      <c r="D43" s="100"/>
      <c r="E43" s="101"/>
      <c r="F43" s="103" t="s">
        <v>35</v>
      </c>
      <c r="G43" s="104">
        <v>15000000</v>
      </c>
    </row>
    <row r="44" spans="2:12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12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12" ht="18.600000000000001">
      <c r="C46" s="98"/>
      <c r="D46" s="98"/>
      <c r="E46" s="98"/>
      <c r="F46" s="98"/>
      <c r="G46" s="98"/>
    </row>
    <row r="47" spans="2:12" ht="18.600000000000001">
      <c r="C47" s="98"/>
      <c r="D47" s="98"/>
      <c r="E47" s="98"/>
      <c r="F47" s="98"/>
      <c r="G47" s="98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0:E20"/>
    <mergeCell ref="D21:E21"/>
    <mergeCell ref="D25:E25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3:L49"/>
  <sheetViews>
    <sheetView view="pageBreakPreview" topLeftCell="A4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151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157955671.75</v>
      </c>
      <c r="H5" s="10"/>
    </row>
    <row r="6" spans="2:8" ht="21">
      <c r="B6" s="5"/>
      <c r="C6" s="11" t="s">
        <v>7</v>
      </c>
      <c r="D6" s="12" t="s">
        <v>1</v>
      </c>
      <c r="E6" s="15" t="s">
        <v>152</v>
      </c>
      <c r="F6" s="11" t="s">
        <v>9</v>
      </c>
      <c r="G6" s="14">
        <f>G4-G5</f>
        <v>595174921.30500007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0.79026788553460781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113" t="s">
        <v>145</v>
      </c>
      <c r="D20" s="303" t="s">
        <v>146</v>
      </c>
      <c r="E20" s="304"/>
      <c r="F20" s="114">
        <f>+LK.15!F32+LK.16!F32</f>
        <v>18938526</v>
      </c>
      <c r="G20" s="39"/>
      <c r="H20" s="10"/>
    </row>
    <row r="21" spans="2:12" ht="19.8">
      <c r="B21" s="5"/>
      <c r="C21" s="57"/>
      <c r="D21" s="315" t="s">
        <v>153</v>
      </c>
      <c r="E21" s="316"/>
      <c r="F21" s="57"/>
      <c r="G21" s="25"/>
      <c r="H21" s="10"/>
    </row>
    <row r="22" spans="2:12" ht="20.399999999999999">
      <c r="B22" s="5"/>
      <c r="C22" s="113" t="s">
        <v>154</v>
      </c>
      <c r="D22" s="317" t="s">
        <v>155</v>
      </c>
      <c r="E22" s="298"/>
      <c r="F22" s="114">
        <f>+LK.17!F32</f>
        <v>6541000</v>
      </c>
      <c r="G22" s="25"/>
      <c r="H22" s="10"/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142065571.75</v>
      </c>
      <c r="G24" s="51">
        <f>G4-F24</f>
        <v>611065021.30500007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297" t="s">
        <v>132</v>
      </c>
      <c r="E26" s="305"/>
      <c r="F26" s="59">
        <v>0</v>
      </c>
      <c r="G26" s="60"/>
      <c r="H26" s="10"/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307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8" t="s">
        <v>148</v>
      </c>
      <c r="E29" s="309"/>
      <c r="F29" s="64">
        <v>0</v>
      </c>
      <c r="G29" s="65">
        <v>0</v>
      </c>
      <c r="H29" s="10"/>
    </row>
    <row r="30" spans="2:12" ht="19.8">
      <c r="B30" s="5"/>
      <c r="C30" s="67" t="s">
        <v>139</v>
      </c>
      <c r="D30" s="310" t="s">
        <v>156</v>
      </c>
      <c r="E30" s="311"/>
      <c r="F30" s="115">
        <v>2308928.25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157</v>
      </c>
      <c r="D31" s="310" t="s">
        <v>158</v>
      </c>
      <c r="E31" s="311"/>
      <c r="F31" s="115">
        <v>13581171.75</v>
      </c>
      <c r="G31" s="65">
        <v>3418828.25</v>
      </c>
      <c r="H31" s="10"/>
      <c r="L31" s="110">
        <f>15000000-F31</f>
        <v>1418828.25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2" t="s">
        <v>141</v>
      </c>
      <c r="E33" s="307"/>
      <c r="F33" s="62"/>
      <c r="G33" s="72"/>
      <c r="H33" s="10"/>
      <c r="L33" s="110"/>
    </row>
    <row r="34" spans="2:12" ht="21">
      <c r="B34" s="5"/>
      <c r="C34" s="67">
        <v>44909</v>
      </c>
      <c r="D34" s="313" t="s">
        <v>159</v>
      </c>
      <c r="E34" s="314"/>
      <c r="F34" s="73">
        <v>15890100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8" t="s">
        <v>26</v>
      </c>
      <c r="D37" s="289"/>
      <c r="E37" s="289"/>
      <c r="F37" s="82">
        <f>F24+F34</f>
        <v>157955671.75</v>
      </c>
      <c r="G37" s="83">
        <f>G4-F37</f>
        <v>595174921.30500007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0" t="s">
        <v>50</v>
      </c>
      <c r="G41" s="291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3:L49"/>
  <sheetViews>
    <sheetView view="pageBreakPreview" zoomScale="85" zoomScaleNormal="85" workbookViewId="0">
      <selection activeCell="J37" sqref="J3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160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168740771.75</v>
      </c>
      <c r="H5" s="10"/>
    </row>
    <row r="6" spans="2:8" ht="21">
      <c r="B6" s="5"/>
      <c r="C6" s="11" t="s">
        <v>7</v>
      </c>
      <c r="D6" s="12" t="s">
        <v>1</v>
      </c>
      <c r="E6" s="15" t="s">
        <v>161</v>
      </c>
      <c r="F6" s="11" t="s">
        <v>9</v>
      </c>
      <c r="G6" s="14">
        <f>G4-G5</f>
        <v>584389821.30500007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0.77594752715393001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113" t="s">
        <v>162</v>
      </c>
      <c r="D20" s="303" t="s">
        <v>163</v>
      </c>
      <c r="E20" s="304"/>
      <c r="F20" s="114">
        <f>+LK.15!F32+LK.16!F32+LK.17!F32</f>
        <v>25479526</v>
      </c>
      <c r="G20" s="39"/>
      <c r="H20" s="10"/>
    </row>
    <row r="21" spans="2:12" ht="19.8">
      <c r="B21" s="5"/>
      <c r="C21" s="57"/>
      <c r="D21" s="315" t="s">
        <v>164</v>
      </c>
      <c r="E21" s="316"/>
      <c r="F21" s="57"/>
      <c r="G21" s="25"/>
      <c r="H21" s="10"/>
    </row>
    <row r="22" spans="2:12" ht="20.399999999999999">
      <c r="B22" s="5"/>
      <c r="C22" s="113" t="s">
        <v>165</v>
      </c>
      <c r="D22" s="317" t="s">
        <v>166</v>
      </c>
      <c r="E22" s="298"/>
      <c r="F22" s="114">
        <f>LK.18!F34</f>
        <v>15890100</v>
      </c>
      <c r="G22" s="25"/>
      <c r="H22" s="10"/>
      <c r="L22" s="1">
        <f>128500000+15000000</f>
        <v>143500000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157955671.75</v>
      </c>
      <c r="G24" s="51">
        <f>G4-F24</f>
        <v>595174921.30500007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297" t="s">
        <v>132</v>
      </c>
      <c r="E26" s="305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307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8" t="s">
        <v>167</v>
      </c>
      <c r="E29" s="309"/>
      <c r="F29" s="64">
        <v>0</v>
      </c>
      <c r="G29" s="65">
        <v>0</v>
      </c>
      <c r="H29" s="10"/>
    </row>
    <row r="30" spans="2:12" ht="19.8" customHeight="1">
      <c r="B30" s="5"/>
      <c r="C30" s="67" t="s">
        <v>157</v>
      </c>
      <c r="D30" s="310" t="s">
        <v>168</v>
      </c>
      <c r="E30" s="311"/>
      <c r="F30" s="115">
        <v>3418828.25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169</v>
      </c>
      <c r="D31" s="310" t="s">
        <v>170</v>
      </c>
      <c r="E31" s="311"/>
      <c r="F31" s="64">
        <v>7366271.75</v>
      </c>
      <c r="G31" s="65">
        <v>6633728.25</v>
      </c>
      <c r="H31" s="10"/>
      <c r="L31" s="110">
        <f>15000000-F31</f>
        <v>7633728.25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2" t="s">
        <v>141</v>
      </c>
      <c r="E33" s="307"/>
      <c r="F33" s="62"/>
      <c r="G33" s="72"/>
      <c r="H33" s="10"/>
      <c r="L33" s="110"/>
    </row>
    <row r="34" spans="2:12" ht="21">
      <c r="B34" s="5"/>
      <c r="C34" s="67">
        <v>44909</v>
      </c>
      <c r="D34" s="313" t="s">
        <v>171</v>
      </c>
      <c r="E34" s="314"/>
      <c r="F34" s="73">
        <v>10785100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8" t="s">
        <v>26</v>
      </c>
      <c r="D37" s="289"/>
      <c r="E37" s="289"/>
      <c r="F37" s="82">
        <f>F24+F34</f>
        <v>168740771.75</v>
      </c>
      <c r="G37" s="83">
        <f>G4-F37</f>
        <v>584389821.30500007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0" t="s">
        <v>50</v>
      </c>
      <c r="G41" s="291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9"/>
  <sheetViews>
    <sheetView zoomScale="85" zoomScaleNormal="85" workbookViewId="0">
      <selection activeCell="E23" sqref="E23:G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39</v>
      </c>
      <c r="F4" s="261" t="s">
        <v>3</v>
      </c>
      <c r="G4" s="262"/>
      <c r="H4" s="9">
        <f>+E37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G27</f>
        <v>5874500</v>
      </c>
      <c r="I5" s="10"/>
    </row>
    <row r="6" spans="2:9" ht="21">
      <c r="B6" s="5"/>
      <c r="C6" s="11" t="s">
        <v>7</v>
      </c>
      <c r="D6" s="12" t="s">
        <v>1</v>
      </c>
      <c r="E6" s="15" t="s">
        <v>40</v>
      </c>
      <c r="F6" s="263" t="s">
        <v>9</v>
      </c>
      <c r="G6" s="264"/>
      <c r="H6" s="14">
        <f>H4-H5</f>
        <v>678740396.23000002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0.99141926354166499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6"/>
      <c r="F16" s="98"/>
      <c r="G16" s="98"/>
      <c r="H16" s="190"/>
      <c r="I16" s="10"/>
    </row>
    <row r="17" spans="2:9" ht="19.8">
      <c r="B17" s="5"/>
      <c r="C17" s="215"/>
      <c r="D17" s="216"/>
      <c r="E17" s="216"/>
      <c r="F17" s="98"/>
      <c r="G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SUM(G15:G17)</f>
        <v>3630500</v>
      </c>
      <c r="H18" s="225">
        <f>H10-G18</f>
        <v>680984396.23000002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69" t="s">
        <v>19</v>
      </c>
      <c r="D20" s="272"/>
      <c r="E20" s="272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39</v>
      </c>
      <c r="F22" s="223"/>
      <c r="G22" s="247">
        <v>2244000</v>
      </c>
      <c r="H22" s="190"/>
      <c r="I22" s="10"/>
    </row>
    <row r="23" spans="2:9" ht="18.600000000000001">
      <c r="B23" s="5"/>
      <c r="C23" s="227">
        <v>44673</v>
      </c>
      <c r="D23" s="216"/>
      <c r="E23" s="249" t="s">
        <v>24</v>
      </c>
      <c r="F23" s="249"/>
      <c r="G23" s="233">
        <v>1369500</v>
      </c>
      <c r="H23" s="190"/>
      <c r="I23" s="10"/>
    </row>
    <row r="24" spans="2:9" ht="18.600000000000001">
      <c r="B24" s="5"/>
      <c r="C24" s="189"/>
      <c r="D24" s="98"/>
      <c r="E24" s="98"/>
      <c r="F24" s="98"/>
      <c r="G24" s="235">
        <v>0</v>
      </c>
      <c r="H24" s="190"/>
      <c r="I24" s="10"/>
    </row>
    <row r="25" spans="2:9" ht="19.8">
      <c r="B25" s="5"/>
      <c r="C25" s="189"/>
      <c r="D25" s="98"/>
      <c r="E25" s="236" t="s">
        <v>25</v>
      </c>
      <c r="F25" s="98"/>
      <c r="G25" s="250">
        <f>G22-SUM(G23:G24)</f>
        <v>874500</v>
      </c>
      <c r="H25" s="190"/>
      <c r="I25" s="10"/>
    </row>
    <row r="26" spans="2:9" ht="18.600000000000001">
      <c r="B26" s="5"/>
      <c r="C26" s="80"/>
      <c r="D26" s="48"/>
      <c r="E26" s="48"/>
      <c r="F26" s="48"/>
      <c r="G26" s="48"/>
      <c r="H26" s="81"/>
      <c r="I26" s="10"/>
    </row>
    <row r="27" spans="2:9" ht="19.8">
      <c r="B27" s="5"/>
      <c r="C27" s="277" t="s">
        <v>26</v>
      </c>
      <c r="D27" s="278"/>
      <c r="E27" s="278"/>
      <c r="F27" s="53"/>
      <c r="G27" s="202">
        <f>G18+G22</f>
        <v>5874500</v>
      </c>
      <c r="H27" s="203">
        <f>H10-G27</f>
        <v>678740396.23000002</v>
      </c>
      <c r="I27" s="10"/>
    </row>
    <row r="28" spans="2:9" ht="19.8">
      <c r="B28" s="5"/>
      <c r="C28" s="204" t="s">
        <v>27</v>
      </c>
      <c r="D28" s="205"/>
      <c r="E28" s="206"/>
      <c r="F28" s="98"/>
      <c r="G28" s="98"/>
      <c r="H28" s="190"/>
      <c r="I28" s="10"/>
    </row>
    <row r="29" spans="2:9" ht="19.8">
      <c r="B29" s="5"/>
      <c r="C29" s="207" t="s">
        <v>28</v>
      </c>
      <c r="D29" s="208" t="s">
        <v>1</v>
      </c>
      <c r="E29" s="251">
        <f>G25</f>
        <v>874500</v>
      </c>
      <c r="F29" s="98"/>
      <c r="G29" s="98"/>
      <c r="H29" s="190"/>
      <c r="I29" s="10"/>
    </row>
    <row r="30" spans="2:9" ht="19.8">
      <c r="B30" s="5"/>
      <c r="C30" s="207" t="s">
        <v>29</v>
      </c>
      <c r="D30" s="208" t="s">
        <v>1</v>
      </c>
      <c r="E30" s="209" t="s">
        <v>30</v>
      </c>
      <c r="F30" s="98"/>
      <c r="G30" s="98"/>
      <c r="H30" s="190"/>
      <c r="I30" s="10"/>
    </row>
    <row r="31" spans="2:9" ht="19.8">
      <c r="B31" s="5"/>
      <c r="C31" s="210" t="s">
        <v>31</v>
      </c>
      <c r="D31" s="211" t="s">
        <v>1</v>
      </c>
      <c r="E31" s="212" t="s">
        <v>32</v>
      </c>
      <c r="F31" s="96"/>
      <c r="G31" s="275" t="s">
        <v>33</v>
      </c>
      <c r="H31" s="276"/>
      <c r="I31" s="10"/>
    </row>
    <row r="32" spans="2:9" ht="6" customHeight="1">
      <c r="B32" s="95"/>
      <c r="C32" s="96"/>
      <c r="D32" s="96"/>
      <c r="E32" s="96"/>
      <c r="F32" s="96"/>
      <c r="G32" s="96"/>
      <c r="H32" s="96"/>
      <c r="I32" s="97"/>
    </row>
    <row r="33" spans="3:8" ht="18.600000000000001">
      <c r="C33" s="98"/>
      <c r="D33" s="98"/>
      <c r="E33" s="98"/>
      <c r="F33" s="98"/>
      <c r="G33" s="98"/>
      <c r="H33" s="98"/>
    </row>
    <row r="34" spans="3:8" ht="19.8">
      <c r="C34" s="99" t="s">
        <v>34</v>
      </c>
      <c r="D34" s="100"/>
      <c r="E34" s="101"/>
      <c r="F34" s="102"/>
      <c r="G34" s="102"/>
      <c r="H34" s="98"/>
    </row>
    <row r="35" spans="3:8" ht="19.8">
      <c r="C35" s="99"/>
      <c r="D35" s="100"/>
      <c r="E35" s="101"/>
      <c r="F35" s="103" t="s">
        <v>35</v>
      </c>
      <c r="G35" s="104">
        <v>15000000</v>
      </c>
      <c r="H35" s="98"/>
    </row>
    <row r="36" spans="3:8" ht="19.8">
      <c r="C36" s="99" t="s">
        <v>36</v>
      </c>
      <c r="D36" s="100"/>
      <c r="E36" s="101">
        <v>68461489623</v>
      </c>
      <c r="F36" s="105" t="s">
        <v>37</v>
      </c>
      <c r="G36" s="106"/>
      <c r="H36" s="98"/>
    </row>
    <row r="37" spans="3:8" ht="19.8">
      <c r="C37" s="107">
        <v>0.01</v>
      </c>
      <c r="D37" s="100"/>
      <c r="E37" s="101">
        <f>E36*C37</f>
        <v>684614896.23000002</v>
      </c>
      <c r="F37" s="105" t="s">
        <v>38</v>
      </c>
      <c r="G37" s="108"/>
      <c r="H37" s="98"/>
    </row>
    <row r="38" spans="3:8" ht="18.600000000000001">
      <c r="C38" s="98"/>
      <c r="D38" s="98"/>
      <c r="E38" s="98"/>
      <c r="F38" s="98"/>
      <c r="G38" s="98"/>
      <c r="H38" s="98"/>
    </row>
    <row r="39" spans="3:8" ht="18.600000000000001">
      <c r="C39" s="98"/>
      <c r="D39" s="98"/>
      <c r="E39" s="98"/>
      <c r="F39" s="98"/>
      <c r="G39" s="98"/>
      <c r="H39" s="98"/>
    </row>
  </sheetData>
  <mergeCells count="12">
    <mergeCell ref="C27:E27"/>
    <mergeCell ref="G31:H31"/>
    <mergeCell ref="C11:E11"/>
    <mergeCell ref="D12:E12"/>
    <mergeCell ref="D13:E13"/>
    <mergeCell ref="C14:E14"/>
    <mergeCell ref="C20:E20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3:L49"/>
  <sheetViews>
    <sheetView view="pageBreakPreview" zoomScale="85" zoomScaleNormal="85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172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178333446.75</v>
      </c>
      <c r="H5" s="10"/>
    </row>
    <row r="6" spans="2:8" ht="21">
      <c r="B6" s="5"/>
      <c r="C6" s="11" t="s">
        <v>7</v>
      </c>
      <c r="D6" s="12" t="s">
        <v>1</v>
      </c>
      <c r="E6" s="15" t="s">
        <v>173</v>
      </c>
      <c r="F6" s="11" t="s">
        <v>9</v>
      </c>
      <c r="G6" s="14">
        <f>G4-G5</f>
        <v>574797146.30500007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0.76321045991956327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  <c r="L19" s="1">
        <f>18000000-2958946.75</f>
        <v>15041053.25</v>
      </c>
    </row>
    <row r="20" spans="2:12" ht="20.399999999999999">
      <c r="B20" s="5"/>
      <c r="C20" s="113" t="s">
        <v>174</v>
      </c>
      <c r="D20" s="303" t="s">
        <v>163</v>
      </c>
      <c r="E20" s="304"/>
      <c r="F20" s="114">
        <f>+LK.15!F32+LK.16!F32+LK.17!F32+LK.18!F34</f>
        <v>41369626</v>
      </c>
      <c r="G20" s="39"/>
      <c r="H20" s="10"/>
    </row>
    <row r="21" spans="2:12" ht="19.8">
      <c r="B21" s="5"/>
      <c r="C21" s="57"/>
      <c r="D21" s="315" t="s">
        <v>175</v>
      </c>
      <c r="E21" s="316"/>
      <c r="F21" s="57"/>
      <c r="G21" s="25"/>
      <c r="H21" s="10"/>
    </row>
    <row r="22" spans="2:12" ht="20.399999999999999">
      <c r="B22" s="5"/>
      <c r="C22" s="113" t="s">
        <v>165</v>
      </c>
      <c r="D22" s="317" t="s">
        <v>176</v>
      </c>
      <c r="E22" s="298"/>
      <c r="F22" s="114">
        <f>LK.19!F34</f>
        <v>10785100</v>
      </c>
      <c r="G22" s="25"/>
      <c r="H22" s="10"/>
      <c r="L22" s="1">
        <f>128500000+15000000+17000000</f>
        <v>160500000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168740771.75</v>
      </c>
      <c r="G24" s="51">
        <f>G4-F24</f>
        <v>584389821.30500007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297" t="s">
        <v>132</v>
      </c>
      <c r="E26" s="305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06" t="s">
        <v>133</v>
      </c>
      <c r="E28" s="307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08" t="s">
        <v>177</v>
      </c>
      <c r="E29" s="309"/>
      <c r="F29" s="64">
        <v>0</v>
      </c>
      <c r="G29" s="65">
        <v>0</v>
      </c>
      <c r="H29" s="10"/>
    </row>
    <row r="30" spans="2:12" ht="19.8" customHeight="1">
      <c r="B30" s="5"/>
      <c r="C30" s="67" t="s">
        <v>169</v>
      </c>
      <c r="D30" s="310" t="s">
        <v>178</v>
      </c>
      <c r="E30" s="311"/>
      <c r="F30" s="65">
        <v>6633728.25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179</v>
      </c>
      <c r="D31" s="310" t="s">
        <v>180</v>
      </c>
      <c r="E31" s="311"/>
      <c r="F31" s="64">
        <v>2958946.75</v>
      </c>
      <c r="G31" s="65">
        <v>15041053.25</v>
      </c>
      <c r="H31" s="10"/>
      <c r="L31" s="110">
        <f>15000000-F31</f>
        <v>12041053.25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2" t="s">
        <v>141</v>
      </c>
      <c r="E33" s="307"/>
      <c r="F33" s="62"/>
      <c r="G33" s="72"/>
      <c r="H33" s="10"/>
      <c r="L33" s="110"/>
    </row>
    <row r="34" spans="2:12" ht="21">
      <c r="B34" s="5"/>
      <c r="C34" s="67">
        <v>44909</v>
      </c>
      <c r="D34" s="313" t="s">
        <v>181</v>
      </c>
      <c r="E34" s="314"/>
      <c r="F34" s="73">
        <v>9592675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8" t="s">
        <v>26</v>
      </c>
      <c r="D37" s="289"/>
      <c r="E37" s="289"/>
      <c r="F37" s="82">
        <f>F24+F34</f>
        <v>178333446.75</v>
      </c>
      <c r="G37" s="83">
        <f>G4-F37</f>
        <v>574797146.30500007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0" t="s">
        <v>50</v>
      </c>
      <c r="G41" s="291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3:L49"/>
  <sheetViews>
    <sheetView view="pageBreakPreview" topLeftCell="A13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182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189883606.75</v>
      </c>
      <c r="H5" s="10"/>
    </row>
    <row r="6" spans="2:8" ht="21">
      <c r="B6" s="5"/>
      <c r="C6" s="11" t="s">
        <v>7</v>
      </c>
      <c r="D6" s="12" t="s">
        <v>1</v>
      </c>
      <c r="E6" s="15" t="s">
        <v>183</v>
      </c>
      <c r="F6" s="11" t="s">
        <v>9</v>
      </c>
      <c r="G6" s="14">
        <f>G4-G5</f>
        <v>563246986.30500007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0.74787426178007743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184</v>
      </c>
      <c r="D22" s="322" t="s">
        <v>185</v>
      </c>
      <c r="E22" s="323"/>
      <c r="F22" s="36">
        <f>LK.19!F34+LK.20!F34</f>
        <v>20377775</v>
      </c>
      <c r="G22" s="37"/>
      <c r="H22" s="10"/>
      <c r="L22" s="1">
        <f>160500000+14000000</f>
        <v>174500000</v>
      </c>
    </row>
    <row r="23" spans="2:12" ht="20.399999999999999">
      <c r="B23" s="5"/>
      <c r="C23" s="40"/>
      <c r="D23" s="320" t="s">
        <v>186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178333446.75</v>
      </c>
      <c r="G25" s="51">
        <f>G4-F25</f>
        <v>574797146.30500007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297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307"/>
      <c r="F29" s="62" t="s">
        <v>134</v>
      </c>
      <c r="G29" s="63" t="s">
        <v>135</v>
      </c>
      <c r="H29" s="10"/>
      <c r="L29" s="1">
        <f>2958946.75+11550160-18000000</f>
        <v>-3490893.25</v>
      </c>
    </row>
    <row r="30" spans="2:12" ht="20.399999999999999">
      <c r="B30" s="5"/>
      <c r="C30" s="61"/>
      <c r="D30" s="308" t="s">
        <v>187</v>
      </c>
      <c r="E30" s="309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310" t="s">
        <v>188</v>
      </c>
      <c r="E31" s="311"/>
      <c r="F31" s="64">
        <v>11550160</v>
      </c>
      <c r="G31" s="65">
        <v>3490893.25</v>
      </c>
      <c r="H31" s="10"/>
      <c r="L31" s="110"/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2" t="s">
        <v>141</v>
      </c>
      <c r="E33" s="307"/>
      <c r="F33" s="62"/>
      <c r="G33" s="72"/>
      <c r="H33" s="10"/>
      <c r="L33" s="110">
        <f>2958946.75+11550160</f>
        <v>14509106.75</v>
      </c>
    </row>
    <row r="34" spans="2:12" ht="21">
      <c r="B34" s="5"/>
      <c r="C34" s="67">
        <v>44909</v>
      </c>
      <c r="D34" s="313" t="s">
        <v>189</v>
      </c>
      <c r="E34" s="314"/>
      <c r="F34" s="73">
        <v>11550160</v>
      </c>
      <c r="G34" s="74"/>
      <c r="H34" s="10"/>
    </row>
    <row r="35" spans="2:12" ht="21">
      <c r="B35" s="5"/>
      <c r="C35" s="75"/>
      <c r="D35" s="76"/>
      <c r="E35" s="77" t="s">
        <v>25</v>
      </c>
      <c r="F35" s="78">
        <f>F34-SUM(F30:F31)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88" t="s">
        <v>26</v>
      </c>
      <c r="D37" s="289"/>
      <c r="E37" s="289"/>
      <c r="F37" s="82">
        <f>F25+F34</f>
        <v>189883606.75</v>
      </c>
      <c r="G37" s="83">
        <f>G4-F37</f>
        <v>563246986.30500007</v>
      </c>
      <c r="H37" s="10"/>
      <c r="L37" s="111"/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0" t="s">
        <v>50</v>
      </c>
      <c r="G41" s="291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7:E27"/>
    <mergeCell ref="D29:E29"/>
    <mergeCell ref="D30:E30"/>
    <mergeCell ref="D31:E31"/>
    <mergeCell ref="D33:E33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3:L50"/>
  <sheetViews>
    <sheetView view="pageBreakPreview" topLeftCell="A16" zoomScale="85" zoomScaleNormal="85" workbookViewId="0">
      <selection activeCell="F35" sqref="F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190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199447456.75</v>
      </c>
      <c r="H5" s="10"/>
    </row>
    <row r="6" spans="2:8" ht="21">
      <c r="B6" s="5"/>
      <c r="C6" s="11" t="s">
        <v>7</v>
      </c>
      <c r="D6" s="12" t="s">
        <v>1</v>
      </c>
      <c r="E6" s="15" t="s">
        <v>191</v>
      </c>
      <c r="F6" s="11" t="s">
        <v>9</v>
      </c>
      <c r="G6" s="14">
        <f>G4-G5</f>
        <v>553683136.30500007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0.73517546812039458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192</v>
      </c>
      <c r="D22" s="322" t="s">
        <v>193</v>
      </c>
      <c r="E22" s="323"/>
      <c r="F22" s="36">
        <f>LK.19!F34+LK.20!F34+LK.21!F34</f>
        <v>31927935</v>
      </c>
      <c r="G22" s="37"/>
      <c r="H22" s="10"/>
    </row>
    <row r="23" spans="2:12" ht="20.399999999999999">
      <c r="B23" s="5"/>
      <c r="C23" s="40"/>
      <c r="D23" s="320" t="s">
        <v>194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189883606.75</v>
      </c>
      <c r="G25" s="51">
        <f>G4-F25</f>
        <v>563246986.30500007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297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307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08" t="s">
        <v>187</v>
      </c>
      <c r="E30" s="309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310" t="s">
        <v>195</v>
      </c>
      <c r="E31" s="311"/>
      <c r="F31" s="65">
        <v>3490893.25</v>
      </c>
      <c r="G31" s="65">
        <v>0</v>
      </c>
      <c r="H31" s="10"/>
      <c r="L31" s="1">
        <v>6927043.25</v>
      </c>
    </row>
    <row r="32" spans="2:12" ht="19.8">
      <c r="B32" s="5"/>
      <c r="C32" s="67" t="s">
        <v>196</v>
      </c>
      <c r="D32" s="310" t="s">
        <v>197</v>
      </c>
      <c r="E32" s="311"/>
      <c r="F32" s="64">
        <v>6072956.75</v>
      </c>
      <c r="G32" s="65">
        <f>13000000-F32</f>
        <v>6927043.25</v>
      </c>
      <c r="H32" s="10"/>
      <c r="L32" s="110"/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312" t="s">
        <v>141</v>
      </c>
      <c r="E34" s="307"/>
      <c r="F34" s="62"/>
      <c r="G34" s="72"/>
      <c r="H34" s="10"/>
      <c r="L34" s="110">
        <v>14509106.75</v>
      </c>
    </row>
    <row r="35" spans="2:12" ht="21">
      <c r="B35" s="5"/>
      <c r="C35" s="67">
        <v>44909</v>
      </c>
      <c r="D35" s="313" t="s">
        <v>198</v>
      </c>
      <c r="E35" s="314"/>
      <c r="F35" s="73">
        <v>9563850</v>
      </c>
      <c r="G35" s="74"/>
      <c r="H35" s="10"/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88" t="s">
        <v>26</v>
      </c>
      <c r="D38" s="289"/>
      <c r="E38" s="289"/>
      <c r="F38" s="82">
        <f>F25+F35</f>
        <v>199447456.75</v>
      </c>
      <c r="G38" s="83">
        <f>G4-F38</f>
        <v>553683136.30500007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90" t="s">
        <v>50</v>
      </c>
      <c r="G42" s="291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3:L50"/>
  <sheetViews>
    <sheetView view="pageBreakPreview" topLeftCell="A16" zoomScale="85" zoomScaleNormal="85" workbookViewId="0">
      <selection activeCell="D31" sqref="D31:E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199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210240846.75</v>
      </c>
      <c r="H5" s="10"/>
    </row>
    <row r="6" spans="2:8" ht="21">
      <c r="B6" s="5"/>
      <c r="C6" s="11" t="s">
        <v>7</v>
      </c>
      <c r="D6" s="12" t="s">
        <v>1</v>
      </c>
      <c r="E6" s="15" t="s">
        <v>200</v>
      </c>
      <c r="F6" s="11" t="s">
        <v>9</v>
      </c>
      <c r="G6" s="14">
        <f>G4-G5</f>
        <v>542889746.30500007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0.72084410235258312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199447456.75</v>
      </c>
      <c r="G25" s="51">
        <f>G4-F25</f>
        <v>553683136.30500007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297" t="s">
        <v>132</v>
      </c>
      <c r="E27" s="305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06" t="s">
        <v>133</v>
      </c>
      <c r="E29" s="307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08" t="s">
        <v>204</v>
      </c>
      <c r="E30" s="309"/>
      <c r="F30" s="64">
        <v>0</v>
      </c>
      <c r="G30" s="65">
        <v>0</v>
      </c>
      <c r="H30" s="10"/>
    </row>
    <row r="31" spans="2:12" ht="19.8">
      <c r="B31" s="5"/>
      <c r="C31" s="67" t="s">
        <v>196</v>
      </c>
      <c r="D31" s="310" t="s">
        <v>205</v>
      </c>
      <c r="E31" s="311"/>
      <c r="F31" s="64">
        <v>6927043.25</v>
      </c>
      <c r="G31" s="65">
        <v>0</v>
      </c>
      <c r="H31" s="10"/>
    </row>
    <row r="32" spans="2:12" ht="19.8">
      <c r="B32" s="5"/>
      <c r="C32" s="67" t="s">
        <v>206</v>
      </c>
      <c r="D32" s="310" t="s">
        <v>207</v>
      </c>
      <c r="E32" s="311"/>
      <c r="F32" s="64">
        <v>3866346.75</v>
      </c>
      <c r="G32" s="65">
        <f>11000000-F32</f>
        <v>7133653.25</v>
      </c>
      <c r="H32" s="10"/>
      <c r="L32" s="110">
        <v>7133653.25</v>
      </c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312" t="s">
        <v>141</v>
      </c>
      <c r="E34" s="307"/>
      <c r="F34" s="62"/>
      <c r="G34" s="72"/>
      <c r="H34" s="10"/>
      <c r="L34" s="110">
        <v>14509106.75</v>
      </c>
    </row>
    <row r="35" spans="2:12" ht="21">
      <c r="B35" s="5"/>
      <c r="C35" s="67">
        <v>44934</v>
      </c>
      <c r="D35" s="313" t="s">
        <v>208</v>
      </c>
      <c r="E35" s="314"/>
      <c r="F35" s="73">
        <v>10793390</v>
      </c>
      <c r="G35" s="74"/>
      <c r="H35" s="10"/>
      <c r="L35" s="110">
        <v>14509106.75</v>
      </c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88" t="s">
        <v>26</v>
      </c>
      <c r="D38" s="289"/>
      <c r="E38" s="289"/>
      <c r="F38" s="82">
        <f>F25+F35</f>
        <v>210240846.75</v>
      </c>
      <c r="G38" s="83">
        <f>G4-F38</f>
        <v>542889746.30500007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90" t="s">
        <v>50</v>
      </c>
      <c r="G42" s="291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3:L51"/>
  <sheetViews>
    <sheetView view="pageBreakPreview" topLeftCell="A18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209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214866346.75</v>
      </c>
      <c r="H5" s="10"/>
    </row>
    <row r="6" spans="2:8" ht="21">
      <c r="B6" s="5"/>
      <c r="C6" s="11" t="s">
        <v>7</v>
      </c>
      <c r="D6" s="12" t="s">
        <v>1</v>
      </c>
      <c r="E6" s="15" t="s">
        <v>210</v>
      </c>
      <c r="F6" s="11" t="s">
        <v>9</v>
      </c>
      <c r="G6" s="14">
        <f>G4-G5</f>
        <v>538264246.30500007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0.71470240522508077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211</v>
      </c>
      <c r="D24" s="322" t="s">
        <v>212</v>
      </c>
      <c r="E24" s="323"/>
      <c r="F24" s="36">
        <f>LK.23!F35</f>
        <v>10793390</v>
      </c>
      <c r="G24" s="37"/>
      <c r="H24" s="10"/>
    </row>
    <row r="25" spans="2:12" ht="20.399999999999999">
      <c r="B25" s="5"/>
      <c r="C25" s="40"/>
      <c r="D25" s="320" t="s">
        <v>213</v>
      </c>
      <c r="E25" s="321"/>
      <c r="F25" s="41"/>
      <c r="G25" s="39"/>
      <c r="H25" s="10"/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210240846.75</v>
      </c>
      <c r="G27" s="51">
        <f>G4-F27</f>
        <v>542889746.30500007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297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307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8" t="s">
        <v>214</v>
      </c>
      <c r="E32" s="309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310" t="s">
        <v>215</v>
      </c>
      <c r="E33" s="311"/>
      <c r="F33" s="64">
        <v>4625500</v>
      </c>
      <c r="G33" s="65">
        <f>11000000-F33-3866346.75</f>
        <v>2508153.25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2" t="s">
        <v>141</v>
      </c>
      <c r="E35" s="307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13" t="s">
        <v>216</v>
      </c>
      <c r="E36" s="314"/>
      <c r="F36" s="73">
        <v>4625500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11000000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8" t="s">
        <v>26</v>
      </c>
      <c r="D39" s="289"/>
      <c r="E39" s="289"/>
      <c r="F39" s="82">
        <f>F27+F36</f>
        <v>214866346.75</v>
      </c>
      <c r="G39" s="83">
        <f>G4-F39</f>
        <v>538264246.30500007</v>
      </c>
      <c r="H39" s="10"/>
      <c r="L39" s="111"/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0" t="s">
        <v>50</v>
      </c>
      <c r="G43" s="291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3:L52"/>
  <sheetViews>
    <sheetView view="pageBreakPreview" topLeftCell="A16" zoomScale="85" zoomScaleNormal="85" workbookViewId="0">
      <selection activeCell="G36" sqref="G3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217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220566382.75</v>
      </c>
      <c r="H5" s="10"/>
    </row>
    <row r="6" spans="2:8" ht="21">
      <c r="B6" s="5"/>
      <c r="C6" s="11" t="s">
        <v>7</v>
      </c>
      <c r="D6" s="12" t="s">
        <v>1</v>
      </c>
      <c r="E6" s="15" t="s">
        <v>218</v>
      </c>
      <c r="F6" s="11" t="s">
        <v>9</v>
      </c>
      <c r="G6" s="14">
        <f>G4-G5</f>
        <v>532564210.30500007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0.70713394890082182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219</v>
      </c>
      <c r="D24" s="322" t="s">
        <v>220</v>
      </c>
      <c r="E24" s="323"/>
      <c r="F24" s="36">
        <f>LK.23!F35+LK.24!F36</f>
        <v>15418890</v>
      </c>
      <c r="G24" s="37"/>
      <c r="H24" s="10"/>
    </row>
    <row r="25" spans="2:12" ht="20.399999999999999">
      <c r="B25" s="5"/>
      <c r="C25" s="40"/>
      <c r="D25" s="320" t="s">
        <v>221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214866346.75</v>
      </c>
      <c r="G27" s="51">
        <f>G4-F27</f>
        <v>538264246.30500007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297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307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8" t="s">
        <v>214</v>
      </c>
      <c r="E32" s="309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310" t="s">
        <v>222</v>
      </c>
      <c r="E33" s="311"/>
      <c r="F33" s="64">
        <v>2508153.25</v>
      </c>
      <c r="G33" s="65">
        <v>0</v>
      </c>
      <c r="H33" s="10"/>
    </row>
    <row r="34" spans="2:12" ht="19.8">
      <c r="B34" s="5"/>
      <c r="C34" s="67" t="s">
        <v>223</v>
      </c>
      <c r="D34" s="310" t="s">
        <v>224</v>
      </c>
      <c r="E34" s="311"/>
      <c r="F34" s="65">
        <v>3191882.75</v>
      </c>
      <c r="G34" s="65">
        <f>18000000-F34</f>
        <v>14808117.25</v>
      </c>
      <c r="H34" s="10"/>
      <c r="L34" s="110">
        <v>7133653.25</v>
      </c>
    </row>
    <row r="35" spans="2:12" ht="7.8" customHeight="1">
      <c r="B35" s="5"/>
      <c r="C35" s="67"/>
      <c r="D35" s="68"/>
      <c r="E35" s="69"/>
      <c r="F35" s="70"/>
      <c r="G35" s="71"/>
      <c r="H35" s="10"/>
      <c r="L35" s="110"/>
    </row>
    <row r="36" spans="2:12" ht="19.2" customHeight="1">
      <c r="B36" s="5"/>
      <c r="C36" s="61" t="s">
        <v>20</v>
      </c>
      <c r="D36" s="312" t="s">
        <v>141</v>
      </c>
      <c r="E36" s="307"/>
      <c r="F36" s="62"/>
      <c r="G36" s="72"/>
      <c r="H36" s="10"/>
      <c r="L36" s="110">
        <v>14509106.75</v>
      </c>
    </row>
    <row r="37" spans="2:12" ht="21">
      <c r="B37" s="5"/>
      <c r="C37" s="67">
        <v>44934</v>
      </c>
      <c r="D37" s="313" t="s">
        <v>225</v>
      </c>
      <c r="E37" s="314"/>
      <c r="F37" s="73">
        <v>5700036</v>
      </c>
      <c r="G37" s="74"/>
      <c r="H37" s="10"/>
      <c r="L37" s="110">
        <v>14509106.75</v>
      </c>
    </row>
    <row r="38" spans="2:12" ht="21">
      <c r="B38" s="5"/>
      <c r="C38" s="75"/>
      <c r="D38" s="76"/>
      <c r="E38" s="77" t="s">
        <v>25</v>
      </c>
      <c r="F38" s="78">
        <f>F37-SUM(F32:F34)</f>
        <v>0</v>
      </c>
      <c r="G38" s="79"/>
      <c r="H38" s="10"/>
      <c r="L38" s="109">
        <f>F34+G34+3866346.75</f>
        <v>21866346.75</v>
      </c>
    </row>
    <row r="39" spans="2:12" ht="10.199999999999999" customHeight="1">
      <c r="B39" s="5"/>
      <c r="C39" s="80"/>
      <c r="D39" s="48"/>
      <c r="E39" s="48"/>
      <c r="F39" s="48"/>
      <c r="G39" s="81"/>
      <c r="H39" s="10"/>
    </row>
    <row r="40" spans="2:12" ht="20.399999999999999">
      <c r="B40" s="5"/>
      <c r="C40" s="288" t="s">
        <v>26</v>
      </c>
      <c r="D40" s="289"/>
      <c r="E40" s="289"/>
      <c r="F40" s="82">
        <f>F27+F37</f>
        <v>220566382.75</v>
      </c>
      <c r="G40" s="83">
        <f>G4-F40</f>
        <v>532564210.30500007</v>
      </c>
      <c r="H40" s="10"/>
      <c r="L40" s="111"/>
    </row>
    <row r="41" spans="2:12" ht="20.399999999999999">
      <c r="B41" s="5"/>
      <c r="C41" s="84" t="s">
        <v>27</v>
      </c>
      <c r="D41" s="85"/>
      <c r="E41" s="86"/>
      <c r="F41" s="87"/>
      <c r="G41" s="42"/>
      <c r="H41" s="10"/>
    </row>
    <row r="42" spans="2:12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2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2" ht="20.399999999999999">
      <c r="B44" s="5"/>
      <c r="C44" s="92" t="s">
        <v>31</v>
      </c>
      <c r="D44" s="93" t="s">
        <v>1</v>
      </c>
      <c r="E44" s="94" t="s">
        <v>32</v>
      </c>
      <c r="F44" s="290" t="s">
        <v>50</v>
      </c>
      <c r="G44" s="291"/>
      <c r="H44" s="10"/>
    </row>
    <row r="45" spans="2:12" ht="6" customHeight="1">
      <c r="B45" s="95"/>
      <c r="C45" s="96"/>
      <c r="D45" s="96"/>
      <c r="E45" s="96"/>
      <c r="F45" s="96"/>
      <c r="G45" s="96"/>
      <c r="H45" s="97"/>
    </row>
    <row r="46" spans="2:12" ht="18.600000000000001">
      <c r="C46" s="98"/>
      <c r="D46" s="98"/>
      <c r="E46" s="98"/>
      <c r="F46" s="98"/>
      <c r="G46" s="98"/>
    </row>
    <row r="47" spans="2:12" ht="19.8">
      <c r="C47" s="99" t="s">
        <v>34</v>
      </c>
      <c r="D47" s="100"/>
      <c r="E47" s="101"/>
      <c r="F47" s="102"/>
      <c r="G47" s="98"/>
    </row>
    <row r="48" spans="2:12" ht="19.8">
      <c r="C48" s="99"/>
      <c r="D48" s="100"/>
      <c r="E48" s="101"/>
      <c r="F48" s="103" t="s">
        <v>35</v>
      </c>
      <c r="G48" s="104">
        <v>15000000</v>
      </c>
    </row>
    <row r="49" spans="3:7" ht="19.8">
      <c r="C49" s="99" t="s">
        <v>36</v>
      </c>
      <c r="D49" s="100"/>
      <c r="E49" s="101">
        <v>75313059305.5</v>
      </c>
      <c r="F49" s="105" t="s">
        <v>37</v>
      </c>
      <c r="G49" s="106"/>
    </row>
    <row r="50" spans="3:7" ht="19.8">
      <c r="C50" s="107">
        <v>0.01</v>
      </c>
      <c r="D50" s="100"/>
      <c r="E50" s="101">
        <f>E49*C50</f>
        <v>753130593.05500007</v>
      </c>
      <c r="F50" s="105" t="s">
        <v>38</v>
      </c>
      <c r="G50" s="10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26">
    <mergeCell ref="F44:G44"/>
    <mergeCell ref="D33:E33"/>
    <mergeCell ref="D34:E34"/>
    <mergeCell ref="D36:E36"/>
    <mergeCell ref="D37:E37"/>
    <mergeCell ref="C40:E40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3:L51"/>
  <sheetViews>
    <sheetView view="pageBreakPreview" topLeftCell="A16" zoomScale="85" zoomScaleNormal="85" workbookViewId="0">
      <selection activeCell="F33" sqref="F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226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225890832.75</v>
      </c>
      <c r="H5" s="10"/>
    </row>
    <row r="6" spans="2:8" ht="21">
      <c r="B6" s="5"/>
      <c r="C6" s="11" t="s">
        <v>7</v>
      </c>
      <c r="D6" s="12" t="s">
        <v>1</v>
      </c>
      <c r="E6" s="15" t="s">
        <v>227</v>
      </c>
      <c r="F6" s="11" t="s">
        <v>9</v>
      </c>
      <c r="G6" s="14">
        <f>G4-G5</f>
        <v>527239760.30500007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0.70006419227547767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228</v>
      </c>
      <c r="D24" s="322" t="s">
        <v>229</v>
      </c>
      <c r="E24" s="323"/>
      <c r="F24" s="36">
        <f>LK.23!F35+LK.24!F36+LK.25!F37</f>
        <v>21118926</v>
      </c>
      <c r="G24" s="37"/>
      <c r="H24" s="10"/>
    </row>
    <row r="25" spans="2:12" ht="20.399999999999999">
      <c r="B25" s="5"/>
      <c r="C25" s="40"/>
      <c r="D25" s="320" t="s">
        <v>230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220566382.75</v>
      </c>
      <c r="G27" s="51">
        <f>G4-F27</f>
        <v>532564210.30500007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297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307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8" t="s">
        <v>231</v>
      </c>
      <c r="E32" s="309"/>
      <c r="F32" s="64">
        <v>0</v>
      </c>
      <c r="G32" s="65">
        <v>0</v>
      </c>
      <c r="H32" s="10"/>
      <c r="L32" s="1">
        <f>192500000+13000000+11000000+18000000</f>
        <v>234500000</v>
      </c>
    </row>
    <row r="33" spans="2:12" ht="19.8">
      <c r="B33" s="5"/>
      <c r="C33" s="67" t="s">
        <v>223</v>
      </c>
      <c r="D33" s="310" t="s">
        <v>232</v>
      </c>
      <c r="E33" s="311"/>
      <c r="F33" s="65">
        <v>5324450</v>
      </c>
      <c r="G33" s="65">
        <f>18000000-F33-3191882.75</f>
        <v>9483667.25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2" t="s">
        <v>141</v>
      </c>
      <c r="E35" s="307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13" t="s">
        <v>233</v>
      </c>
      <c r="E36" s="314"/>
      <c r="F36" s="73">
        <v>5324450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18674464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8" t="s">
        <v>26</v>
      </c>
      <c r="D39" s="289"/>
      <c r="E39" s="289"/>
      <c r="F39" s="82">
        <f>F27+F36</f>
        <v>225890832.75</v>
      </c>
      <c r="G39" s="83">
        <f>G4-F39</f>
        <v>527239760.30500007</v>
      </c>
      <c r="H39" s="10"/>
      <c r="L39" s="111">
        <v>9483667.25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0" t="s">
        <v>50</v>
      </c>
      <c r="G43" s="291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B3:L51"/>
  <sheetViews>
    <sheetView view="pageBreakPreview" topLeftCell="A13" zoomScale="85" zoomScaleNormal="85" workbookViewId="0">
      <selection activeCell="D32" sqref="D32: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234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232310132.75</v>
      </c>
      <c r="H5" s="10"/>
    </row>
    <row r="6" spans="2:8" ht="21">
      <c r="B6" s="5"/>
      <c r="C6" s="11" t="s">
        <v>7</v>
      </c>
      <c r="D6" s="12" t="s">
        <v>1</v>
      </c>
      <c r="E6" s="15" t="s">
        <v>235</v>
      </c>
      <c r="F6" s="11" t="s">
        <v>9</v>
      </c>
      <c r="G6" s="14">
        <f>G4-G5</f>
        <v>520820460.30500007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0.69154070370763077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225890832.75</v>
      </c>
      <c r="G27" s="51">
        <f>G4-F27</f>
        <v>527239760.30500007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297" t="s">
        <v>132</v>
      </c>
      <c r="E29" s="305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06" t="s">
        <v>133</v>
      </c>
      <c r="E31" s="307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08" t="s">
        <v>239</v>
      </c>
      <c r="E32" s="309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223</v>
      </c>
      <c r="D33" s="310" t="s">
        <v>240</v>
      </c>
      <c r="E33" s="311"/>
      <c r="F33" s="65">
        <v>6419300</v>
      </c>
      <c r="G33" s="65">
        <f>18000000-F33-8516332.75</f>
        <v>3064367.25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2" t="s">
        <v>141</v>
      </c>
      <c r="E35" s="307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13" t="s">
        <v>241</v>
      </c>
      <c r="E36" s="314"/>
      <c r="F36" s="73">
        <v>6419300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13350014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88" t="s">
        <v>26</v>
      </c>
      <c r="D39" s="289"/>
      <c r="E39" s="289"/>
      <c r="F39" s="82">
        <f>F27+F36</f>
        <v>232310132.75</v>
      </c>
      <c r="G39" s="83">
        <f>G4-F39</f>
        <v>520820460.30500007</v>
      </c>
      <c r="H39" s="10"/>
      <c r="L39" s="111">
        <v>3064367.25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  <c r="L40" s="1">
        <f>5324450+3191882.75</f>
        <v>8516332.75</v>
      </c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0" t="s">
        <v>50</v>
      </c>
      <c r="G43" s="291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3:L54"/>
  <sheetViews>
    <sheetView view="pageBreakPreview" topLeftCell="A23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242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241142182.75</v>
      </c>
      <c r="H5" s="10"/>
    </row>
    <row r="6" spans="2:8" ht="21">
      <c r="B6" s="5"/>
      <c r="C6" s="11" t="s">
        <v>7</v>
      </c>
      <c r="D6" s="12" t="s">
        <v>1</v>
      </c>
      <c r="E6" s="15" t="s">
        <v>243</v>
      </c>
      <c r="F6" s="11" t="s">
        <v>9</v>
      </c>
      <c r="G6" s="14">
        <f>G4-G5</f>
        <v>511988410.30500007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0.67981358747912435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244</v>
      </c>
      <c r="D26" s="322" t="s">
        <v>245</v>
      </c>
      <c r="E26" s="323"/>
      <c r="F26" s="36">
        <f>+LK.27!F36</f>
        <v>6419300</v>
      </c>
      <c r="G26" s="37"/>
      <c r="H26" s="10"/>
    </row>
    <row r="27" spans="2:12" ht="20.399999999999999">
      <c r="B27" s="5"/>
      <c r="C27" s="40"/>
      <c r="D27" s="320" t="s">
        <v>246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232310132.75</v>
      </c>
      <c r="G29" s="51">
        <f>G4-F29</f>
        <v>520820460.30500007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297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307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08" t="s">
        <v>239</v>
      </c>
      <c r="E34" s="309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223</v>
      </c>
      <c r="D35" s="310" t="s">
        <v>247</v>
      </c>
      <c r="E35" s="311"/>
      <c r="F35" s="65">
        <f>18000000-L43</f>
        <v>3064367.25</v>
      </c>
      <c r="G35" s="65">
        <v>0</v>
      </c>
      <c r="H35" s="10"/>
    </row>
    <row r="36" spans="2:12" ht="19.8">
      <c r="B36" s="5"/>
      <c r="C36" s="67" t="s">
        <v>248</v>
      </c>
      <c r="D36" s="310" t="s">
        <v>249</v>
      </c>
      <c r="E36" s="311"/>
      <c r="F36" s="65">
        <v>5767682.75</v>
      </c>
      <c r="G36" s="65">
        <f>13000000-F36</f>
        <v>7232317.25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312" t="s">
        <v>141</v>
      </c>
      <c r="E38" s="307"/>
      <c r="F38" s="62"/>
      <c r="G38" s="72"/>
      <c r="H38" s="10"/>
      <c r="L38" s="110">
        <v>14509106.75</v>
      </c>
    </row>
    <row r="39" spans="2:12" ht="21">
      <c r="B39" s="5"/>
      <c r="C39" s="67">
        <v>44934</v>
      </c>
      <c r="D39" s="313" t="s">
        <v>250</v>
      </c>
      <c r="E39" s="314"/>
      <c r="F39" s="73">
        <v>8832050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16866346.75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88" t="s">
        <v>26</v>
      </c>
      <c r="D42" s="289"/>
      <c r="E42" s="289"/>
      <c r="F42" s="82">
        <f>F29+F39</f>
        <v>241142182.75</v>
      </c>
      <c r="G42" s="83">
        <f>G4-F42</f>
        <v>511988410.30500007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90" t="s">
        <v>50</v>
      </c>
      <c r="G46" s="291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D39:E39"/>
    <mergeCell ref="C42:E42"/>
    <mergeCell ref="F46:G46"/>
    <mergeCell ref="D33:E33"/>
    <mergeCell ref="D34:E34"/>
    <mergeCell ref="D35:E35"/>
    <mergeCell ref="D36:E36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3:L53"/>
  <sheetViews>
    <sheetView view="pageBreakPreview" topLeftCell="A16" zoomScale="85" zoomScaleNormal="85" workbookViewId="0">
      <selection activeCell="K43" sqref="K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251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246385182.75</v>
      </c>
      <c r="H5" s="10"/>
    </row>
    <row r="6" spans="2:8" ht="21">
      <c r="B6" s="5"/>
      <c r="C6" s="11" t="s">
        <v>7</v>
      </c>
      <c r="D6" s="12" t="s">
        <v>1</v>
      </c>
      <c r="E6" s="15" t="s">
        <v>252</v>
      </c>
      <c r="F6" s="11" t="s">
        <v>9</v>
      </c>
      <c r="G6" s="14">
        <f>G4-G5</f>
        <v>506745410.30500007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0.67285197942821207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253</v>
      </c>
      <c r="D26" s="322" t="s">
        <v>254</v>
      </c>
      <c r="E26" s="323"/>
      <c r="F26" s="36">
        <f>+LK.27!F36+LK.28!F39</f>
        <v>15251350</v>
      </c>
      <c r="G26" s="37"/>
      <c r="H26" s="10"/>
    </row>
    <row r="27" spans="2:12" ht="20.399999999999999">
      <c r="B27" s="5"/>
      <c r="C27" s="40"/>
      <c r="D27" s="320" t="s">
        <v>255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241142182.75</v>
      </c>
      <c r="G29" s="51">
        <f>G4-F29</f>
        <v>511988410.30500007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297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307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08" t="s">
        <v>256</v>
      </c>
      <c r="E34" s="309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310" t="s">
        <v>257</v>
      </c>
      <c r="E35" s="311"/>
      <c r="F35" s="65">
        <v>5243000</v>
      </c>
      <c r="G35" s="65">
        <f>13000000-5767682.75-F35</f>
        <v>1989317.25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312" t="s">
        <v>141</v>
      </c>
      <c r="E37" s="307"/>
      <c r="F37" s="62"/>
      <c r="G37" s="72"/>
      <c r="H37" s="10"/>
      <c r="L37" s="110">
        <v>14509106.75</v>
      </c>
    </row>
    <row r="38" spans="2:12" ht="21">
      <c r="B38" s="5"/>
      <c r="C38" s="67">
        <v>44934</v>
      </c>
      <c r="D38" s="313" t="s">
        <v>258</v>
      </c>
      <c r="E38" s="314"/>
      <c r="F38" s="73">
        <v>5243000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11098664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88" t="s">
        <v>26</v>
      </c>
      <c r="D41" s="289"/>
      <c r="E41" s="289"/>
      <c r="F41" s="82">
        <f>F29+F38</f>
        <v>246385182.75</v>
      </c>
      <c r="G41" s="83">
        <f>G4-F41</f>
        <v>506745410.30500007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90" t="s">
        <v>50</v>
      </c>
      <c r="G45" s="291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41:E41"/>
    <mergeCell ref="F45:G45"/>
    <mergeCell ref="D33:E33"/>
    <mergeCell ref="D34:E34"/>
    <mergeCell ref="D35:E35"/>
    <mergeCell ref="D37:E37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43"/>
  <sheetViews>
    <sheetView topLeftCell="A2" zoomScale="70" zoomScaleNormal="70" workbookViewId="0">
      <selection activeCell="E24" sqref="E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42</v>
      </c>
      <c r="F4" s="261" t="s">
        <v>3</v>
      </c>
      <c r="G4" s="262"/>
      <c r="H4" s="9">
        <f>+E41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G31</f>
        <v>13255894</v>
      </c>
      <c r="I5" s="10"/>
    </row>
    <row r="6" spans="2:9" ht="21">
      <c r="B6" s="5"/>
      <c r="C6" s="11" t="s">
        <v>7</v>
      </c>
      <c r="D6" s="12" t="s">
        <v>1</v>
      </c>
      <c r="E6" s="15" t="s">
        <v>43</v>
      </c>
      <c r="F6" s="263" t="s">
        <v>9</v>
      </c>
      <c r="G6" s="264"/>
      <c r="H6" s="14">
        <f>H4-H5</f>
        <v>739874699.05500007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0.98239894365965297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6"/>
      <c r="F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SUM(G15:G16)</f>
        <v>5874500</v>
      </c>
      <c r="H18" s="225">
        <f>H10-G18</f>
        <v>747256093.05500007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69" t="s">
        <v>19</v>
      </c>
      <c r="D20" s="272"/>
      <c r="E20" s="272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42</v>
      </c>
      <c r="F22" s="223"/>
      <c r="G22" s="247">
        <v>7381394</v>
      </c>
      <c r="H22" s="190"/>
      <c r="I22" s="10"/>
    </row>
    <row r="23" spans="2:9" ht="19.8">
      <c r="B23" s="5"/>
      <c r="C23" s="227">
        <v>44673</v>
      </c>
      <c r="D23" s="216"/>
      <c r="E23" s="229" t="s">
        <v>45</v>
      </c>
      <c r="F23" s="231"/>
      <c r="G23" s="231">
        <v>0</v>
      </c>
      <c r="H23" s="190"/>
      <c r="I23" s="10"/>
    </row>
    <row r="24" spans="2:9" ht="19.8">
      <c r="B24" s="5"/>
      <c r="C24" s="227"/>
      <c r="D24" s="216"/>
      <c r="E24" s="246" t="s">
        <v>46</v>
      </c>
      <c r="F24" s="233"/>
      <c r="G24" s="233">
        <v>7381394</v>
      </c>
      <c r="H24" s="190"/>
      <c r="I24" s="10"/>
    </row>
    <row r="25" spans="2:9" ht="18.600000000000001">
      <c r="B25" s="5"/>
      <c r="C25" s="227"/>
      <c r="D25" s="216"/>
      <c r="E25" s="234" t="s">
        <v>47</v>
      </c>
      <c r="F25" s="233"/>
      <c r="G25" s="233"/>
      <c r="H25" s="190"/>
      <c r="I25" s="10"/>
    </row>
    <row r="26" spans="2:9" ht="18.600000000000001">
      <c r="B26" s="5"/>
      <c r="C26" s="227"/>
      <c r="D26" s="216"/>
      <c r="E26" s="234" t="s">
        <v>48</v>
      </c>
      <c r="F26" s="233"/>
      <c r="G26" s="233"/>
      <c r="H26" s="190"/>
      <c r="I26" s="10"/>
    </row>
    <row r="27" spans="2:9" ht="18.600000000000001">
      <c r="B27" s="5"/>
      <c r="C27" s="227"/>
      <c r="D27" s="216"/>
      <c r="E27" s="234" t="s">
        <v>49</v>
      </c>
      <c r="F27" s="233"/>
      <c r="G27" s="233"/>
      <c r="H27" s="190"/>
      <c r="I27" s="10"/>
    </row>
    <row r="28" spans="2:9" ht="18.600000000000001">
      <c r="B28" s="5"/>
      <c r="C28" s="189"/>
      <c r="D28" s="98"/>
      <c r="E28" s="98"/>
      <c r="F28" s="98"/>
      <c r="G28" s="235">
        <v>0</v>
      </c>
      <c r="H28" s="190"/>
      <c r="I28" s="10"/>
    </row>
    <row r="29" spans="2:9" ht="19.8">
      <c r="B29" s="5"/>
      <c r="C29" s="189"/>
      <c r="D29" s="98"/>
      <c r="E29" s="236" t="s">
        <v>25</v>
      </c>
      <c r="F29" s="98"/>
      <c r="G29" s="248">
        <f>G22-SUM(G23:G28)</f>
        <v>0</v>
      </c>
      <c r="H29" s="190"/>
      <c r="I29" s="10"/>
    </row>
    <row r="30" spans="2:9" ht="18.600000000000001">
      <c r="B30" s="5"/>
      <c r="C30" s="80"/>
      <c r="D30" s="48"/>
      <c r="E30" s="48"/>
      <c r="F30" s="48"/>
      <c r="G30" s="48"/>
      <c r="H30" s="81"/>
      <c r="I30" s="10"/>
    </row>
    <row r="31" spans="2:9" ht="19.8">
      <c r="B31" s="5"/>
      <c r="C31" s="277" t="s">
        <v>26</v>
      </c>
      <c r="D31" s="278"/>
      <c r="E31" s="278"/>
      <c r="F31" s="53"/>
      <c r="G31" s="202">
        <f>G18+G22</f>
        <v>13255894</v>
      </c>
      <c r="H31" s="203">
        <f>H10-G31</f>
        <v>739874699.05500007</v>
      </c>
      <c r="I31" s="10"/>
    </row>
    <row r="32" spans="2:9" ht="19.8">
      <c r="B32" s="5"/>
      <c r="C32" s="204" t="s">
        <v>27</v>
      </c>
      <c r="D32" s="205"/>
      <c r="E32" s="206"/>
      <c r="F32" s="98"/>
      <c r="G32" s="98"/>
      <c r="H32" s="190"/>
      <c r="I32" s="10"/>
    </row>
    <row r="33" spans="2:9" ht="19.8">
      <c r="B33" s="5"/>
      <c r="C33" s="207" t="s">
        <v>28</v>
      </c>
      <c r="D33" s="208" t="s">
        <v>1</v>
      </c>
      <c r="E33" s="238">
        <f>G29</f>
        <v>0</v>
      </c>
      <c r="F33" s="98"/>
      <c r="G33" s="98"/>
      <c r="H33" s="190"/>
      <c r="I33" s="10"/>
    </row>
    <row r="34" spans="2:9" ht="19.8">
      <c r="B34" s="5"/>
      <c r="C34" s="207" t="s">
        <v>29</v>
      </c>
      <c r="D34" s="208" t="s">
        <v>1</v>
      </c>
      <c r="E34" s="209" t="s">
        <v>30</v>
      </c>
      <c r="F34" s="98"/>
      <c r="G34" s="98"/>
      <c r="H34" s="190"/>
      <c r="I34" s="10"/>
    </row>
    <row r="35" spans="2:9" ht="19.8">
      <c r="B35" s="5"/>
      <c r="C35" s="210" t="s">
        <v>31</v>
      </c>
      <c r="D35" s="211" t="s">
        <v>1</v>
      </c>
      <c r="E35" s="212" t="s">
        <v>32</v>
      </c>
      <c r="F35" s="96"/>
      <c r="G35" s="275" t="s">
        <v>50</v>
      </c>
      <c r="H35" s="276"/>
      <c r="I35" s="10"/>
    </row>
    <row r="36" spans="2:9" ht="6" customHeight="1">
      <c r="B36" s="95"/>
      <c r="C36" s="96"/>
      <c r="D36" s="96"/>
      <c r="E36" s="96"/>
      <c r="F36" s="96"/>
      <c r="G36" s="96"/>
      <c r="H36" s="96"/>
      <c r="I36" s="97"/>
    </row>
    <row r="37" spans="2:9" ht="18.600000000000001">
      <c r="C37" s="98"/>
      <c r="D37" s="98"/>
      <c r="E37" s="98"/>
      <c r="F37" s="98"/>
      <c r="G37" s="98"/>
      <c r="H37" s="98"/>
    </row>
    <row r="38" spans="2:9" ht="19.8">
      <c r="C38" s="99" t="s">
        <v>34</v>
      </c>
      <c r="D38" s="100"/>
      <c r="E38" s="101"/>
      <c r="F38" s="102"/>
      <c r="G38" s="102"/>
      <c r="H38" s="98"/>
    </row>
    <row r="39" spans="2:9" ht="19.8">
      <c r="C39" s="99"/>
      <c r="D39" s="100"/>
      <c r="E39" s="101"/>
      <c r="F39" s="103" t="s">
        <v>35</v>
      </c>
      <c r="G39" s="104">
        <v>15000000</v>
      </c>
      <c r="H39" s="98"/>
    </row>
    <row r="40" spans="2:9" ht="19.8">
      <c r="C40" s="99" t="s">
        <v>36</v>
      </c>
      <c r="D40" s="100"/>
      <c r="E40" s="101">
        <v>75313059305.5</v>
      </c>
      <c r="F40" s="105" t="s">
        <v>37</v>
      </c>
      <c r="G40" s="106"/>
      <c r="H40" s="98"/>
    </row>
    <row r="41" spans="2:9" ht="19.8">
      <c r="C41" s="107">
        <v>0.01</v>
      </c>
      <c r="D41" s="100"/>
      <c r="E41" s="101">
        <f>E40*C41</f>
        <v>753130593.05500007</v>
      </c>
      <c r="F41" s="105" t="s">
        <v>38</v>
      </c>
      <c r="G41" s="108"/>
      <c r="H41" s="98"/>
    </row>
    <row r="42" spans="2:9" ht="18.600000000000001">
      <c r="C42" s="98"/>
      <c r="D42" s="98"/>
      <c r="E42" s="98"/>
      <c r="F42" s="98"/>
      <c r="G42" s="98"/>
      <c r="H42" s="98"/>
    </row>
    <row r="43" spans="2:9" ht="18.600000000000001">
      <c r="C43" s="98"/>
      <c r="D43" s="98"/>
      <c r="E43" s="98"/>
      <c r="F43" s="98"/>
      <c r="G43" s="98"/>
      <c r="H43" s="98"/>
    </row>
  </sheetData>
  <mergeCells count="12">
    <mergeCell ref="C31:E31"/>
    <mergeCell ref="G35:H35"/>
    <mergeCell ref="C11:E11"/>
    <mergeCell ref="D12:E12"/>
    <mergeCell ref="D13:E13"/>
    <mergeCell ref="C14:E14"/>
    <mergeCell ref="C20:E20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B3:L54"/>
  <sheetViews>
    <sheetView view="pageBreakPreview" topLeftCell="A18" zoomScale="85" zoomScaleNormal="85" workbookViewId="0">
      <selection activeCell="L33" sqref="L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259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250571382.75</v>
      </c>
      <c r="H5" s="10"/>
    </row>
    <row r="6" spans="2:8" ht="21">
      <c r="B6" s="5"/>
      <c r="C6" s="11" t="s">
        <v>7</v>
      </c>
      <c r="D6" s="12" t="s">
        <v>1</v>
      </c>
      <c r="E6" s="15" t="s">
        <v>260</v>
      </c>
      <c r="F6" s="11" t="s">
        <v>9</v>
      </c>
      <c r="G6" s="14">
        <f>G4-G5</f>
        <v>502559210.30500007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0.66729358087342883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261</v>
      </c>
      <c r="D26" s="322" t="s">
        <v>262</v>
      </c>
      <c r="E26" s="323"/>
      <c r="F26" s="36">
        <f>+LK.27!F36+LK.28!F39+LK.29!F38</f>
        <v>20494350</v>
      </c>
      <c r="G26" s="37"/>
      <c r="H26" s="10"/>
    </row>
    <row r="27" spans="2:12" ht="20.399999999999999">
      <c r="B27" s="5"/>
      <c r="C27" s="40"/>
      <c r="D27" s="320" t="s">
        <v>263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246385182.75</v>
      </c>
      <c r="G29" s="51">
        <f>G4-F29</f>
        <v>506745410.30500007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297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307"/>
      <c r="F33" s="62" t="s">
        <v>134</v>
      </c>
      <c r="G33" s="63" t="s">
        <v>135</v>
      </c>
      <c r="H33" s="10"/>
      <c r="L33" s="1">
        <v>2196882.75</v>
      </c>
    </row>
    <row r="34" spans="2:12" ht="20.399999999999999">
      <c r="B34" s="5"/>
      <c r="C34" s="61"/>
      <c r="D34" s="308" t="s">
        <v>256</v>
      </c>
      <c r="E34" s="309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310" t="s">
        <v>264</v>
      </c>
      <c r="E35" s="311"/>
      <c r="F35" s="65">
        <v>1989317.25</v>
      </c>
      <c r="G35" s="65">
        <v>0</v>
      </c>
      <c r="H35" s="10"/>
    </row>
    <row r="36" spans="2:12" ht="19.8">
      <c r="B36" s="5"/>
      <c r="C36" s="67" t="s">
        <v>265</v>
      </c>
      <c r="D36" s="310" t="s">
        <v>266</v>
      </c>
      <c r="E36" s="311"/>
      <c r="F36" s="65">
        <v>2196882.75</v>
      </c>
      <c r="G36" s="65">
        <f>11000000-F36</f>
        <v>8803117.25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312" t="s">
        <v>141</v>
      </c>
      <c r="E38" s="307"/>
      <c r="F38" s="62"/>
      <c r="G38" s="72"/>
      <c r="H38" s="10"/>
      <c r="L38" s="110">
        <v>14509106.75</v>
      </c>
    </row>
    <row r="39" spans="2:12" ht="21">
      <c r="B39" s="5"/>
      <c r="C39" s="67">
        <v>45054</v>
      </c>
      <c r="D39" s="313" t="s">
        <v>267</v>
      </c>
      <c r="E39" s="314"/>
      <c r="F39" s="73">
        <v>4186200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14866346.75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88" t="s">
        <v>26</v>
      </c>
      <c r="D42" s="289"/>
      <c r="E42" s="289"/>
      <c r="F42" s="82">
        <f>F29+F39</f>
        <v>250571382.75</v>
      </c>
      <c r="G42" s="83">
        <f>G4-F42</f>
        <v>502559210.30500007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90" t="s">
        <v>50</v>
      </c>
      <c r="G46" s="291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D39:E39"/>
    <mergeCell ref="C42:E42"/>
    <mergeCell ref="F46:G46"/>
    <mergeCell ref="D33:E33"/>
    <mergeCell ref="D34:E34"/>
    <mergeCell ref="D35:E35"/>
    <mergeCell ref="D36:E36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3:L53"/>
  <sheetViews>
    <sheetView view="pageBreakPreview" topLeftCell="A15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268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258615382.75</v>
      </c>
      <c r="H5" s="10"/>
    </row>
    <row r="6" spans="2:8" ht="21">
      <c r="B6" s="5"/>
      <c r="C6" s="11" t="s">
        <v>7</v>
      </c>
      <c r="D6" s="12" t="s">
        <v>1</v>
      </c>
      <c r="E6" s="15" t="s">
        <v>269</v>
      </c>
      <c r="F6" s="11" t="s">
        <v>9</v>
      </c>
      <c r="G6" s="14">
        <f>G4-G5</f>
        <v>494515210.30500007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0.65661283031810969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37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250571382.75</v>
      </c>
      <c r="G29" s="51">
        <f>G4-F29</f>
        <v>502559210.30500007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297" t="s">
        <v>132</v>
      </c>
      <c r="E31" s="305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06" t="s">
        <v>133</v>
      </c>
      <c r="E33" s="307"/>
      <c r="F33" s="62" t="s">
        <v>134</v>
      </c>
      <c r="G33" s="63" t="s">
        <v>135</v>
      </c>
      <c r="H33" s="10"/>
      <c r="L33" s="1">
        <v>759117.25</v>
      </c>
    </row>
    <row r="34" spans="2:12" ht="20.399999999999999">
      <c r="B34" s="5"/>
      <c r="C34" s="61"/>
      <c r="D34" s="308" t="s">
        <v>273</v>
      </c>
      <c r="E34" s="309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265</v>
      </c>
      <c r="D35" s="310" t="s">
        <v>274</v>
      </c>
      <c r="E35" s="311"/>
      <c r="F35" s="65">
        <v>8044000</v>
      </c>
      <c r="G35" s="65">
        <f>8803117.25-F35</f>
        <v>759117.25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312" t="s">
        <v>141</v>
      </c>
      <c r="E37" s="307"/>
      <c r="F37" s="62"/>
      <c r="G37" s="72"/>
      <c r="H37" s="10"/>
      <c r="L37" s="110">
        <v>14509106.75</v>
      </c>
    </row>
    <row r="38" spans="2:12" ht="21">
      <c r="B38" s="5"/>
      <c r="C38" s="67">
        <v>45054</v>
      </c>
      <c r="D38" s="313" t="s">
        <v>275</v>
      </c>
      <c r="E38" s="314"/>
      <c r="F38" s="73">
        <v>8044000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12669464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88" t="s">
        <v>26</v>
      </c>
      <c r="D41" s="289"/>
      <c r="E41" s="289"/>
      <c r="F41" s="82">
        <f>F29+F38</f>
        <v>258615382.75</v>
      </c>
      <c r="G41" s="83">
        <f>G4-F41</f>
        <v>494515210.30500007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90" t="s">
        <v>50</v>
      </c>
      <c r="G45" s="291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41:E41"/>
    <mergeCell ref="F45:G45"/>
    <mergeCell ref="D33:E33"/>
    <mergeCell ref="D34:E34"/>
    <mergeCell ref="D35:E35"/>
    <mergeCell ref="D37:E37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3:L56"/>
  <sheetViews>
    <sheetView view="pageBreakPreview" topLeftCell="A25" zoomScale="85" zoomScaleNormal="85" workbookViewId="0">
      <selection activeCell="D39" sqref="D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276</v>
      </c>
      <c r="F4" s="6" t="s">
        <v>3</v>
      </c>
      <c r="G4" s="9">
        <f>+E54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F44</f>
        <v>269934682.75</v>
      </c>
      <c r="H5" s="10"/>
    </row>
    <row r="6" spans="2:8" ht="21">
      <c r="B6" s="5"/>
      <c r="C6" s="11" t="s">
        <v>7</v>
      </c>
      <c r="D6" s="12" t="s">
        <v>1</v>
      </c>
      <c r="E6" s="15" t="s">
        <v>277</v>
      </c>
      <c r="F6" s="11" t="s">
        <v>9</v>
      </c>
      <c r="G6" s="14">
        <f>G4-G5</f>
        <v>483195910.30500007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0.6415831660017467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278</v>
      </c>
      <c r="D28" s="322" t="s">
        <v>279</v>
      </c>
      <c r="E28" s="323"/>
      <c r="F28" s="36">
        <f>+LK.31!F38</f>
        <v>8044000</v>
      </c>
      <c r="G28" s="37"/>
      <c r="H28" s="10"/>
    </row>
    <row r="29" spans="2:12" ht="20.399999999999999">
      <c r="B29" s="5"/>
      <c r="C29" s="40"/>
      <c r="D29" s="320" t="s">
        <v>280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258615382.75</v>
      </c>
      <c r="G31" s="51">
        <f>G4-F31</f>
        <v>494515210.30500007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297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307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8" t="s">
        <v>273</v>
      </c>
      <c r="E36" s="309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265</v>
      </c>
      <c r="D37" s="310" t="s">
        <v>281</v>
      </c>
      <c r="E37" s="311"/>
      <c r="F37" s="65">
        <v>759117.25</v>
      </c>
      <c r="G37" s="65">
        <v>0</v>
      </c>
      <c r="H37" s="10"/>
    </row>
    <row r="38" spans="2:12" ht="19.8">
      <c r="B38" s="5"/>
      <c r="C38" s="67" t="s">
        <v>282</v>
      </c>
      <c r="D38" s="310" t="s">
        <v>283</v>
      </c>
      <c r="E38" s="311"/>
      <c r="F38" s="65">
        <v>10560182.75</v>
      </c>
      <c r="G38" s="65">
        <f>12000000-F38</f>
        <v>1439817.25</v>
      </c>
      <c r="H38" s="10"/>
      <c r="L38" s="110">
        <v>7133653.25</v>
      </c>
    </row>
    <row r="39" spans="2:12" ht="7.8" customHeight="1">
      <c r="B39" s="5"/>
      <c r="C39" s="67"/>
      <c r="D39" s="68"/>
      <c r="E39" s="69"/>
      <c r="F39" s="70"/>
      <c r="G39" s="71"/>
      <c r="H39" s="10"/>
      <c r="L39" s="110"/>
    </row>
    <row r="40" spans="2:12" ht="19.2" customHeight="1">
      <c r="B40" s="5"/>
      <c r="C40" s="61" t="s">
        <v>20</v>
      </c>
      <c r="D40" s="312" t="s">
        <v>141</v>
      </c>
      <c r="E40" s="307"/>
      <c r="F40" s="62"/>
      <c r="G40" s="72"/>
      <c r="H40" s="10"/>
      <c r="L40" s="110">
        <v>14509106.75</v>
      </c>
    </row>
    <row r="41" spans="2:12" ht="21">
      <c r="B41" s="5"/>
      <c r="C41" s="67">
        <v>45054</v>
      </c>
      <c r="D41" s="313" t="s">
        <v>284</v>
      </c>
      <c r="E41" s="314"/>
      <c r="F41" s="73">
        <v>11319300</v>
      </c>
      <c r="G41" s="74"/>
      <c r="H41" s="10"/>
      <c r="L41" s="110">
        <v>14509106.75</v>
      </c>
    </row>
    <row r="42" spans="2:12" ht="21">
      <c r="B42" s="5"/>
      <c r="C42" s="75"/>
      <c r="D42" s="76"/>
      <c r="E42" s="77" t="s">
        <v>25</v>
      </c>
      <c r="F42" s="78">
        <f>F41-SUM(F36:F38)</f>
        <v>0</v>
      </c>
      <c r="G42" s="79"/>
      <c r="H42" s="10"/>
      <c r="L42" s="109">
        <f>F38+G38+3866346.75</f>
        <v>15866346.75</v>
      </c>
    </row>
    <row r="43" spans="2:12" ht="10.199999999999999" customHeight="1">
      <c r="B43" s="5"/>
      <c r="C43" s="80"/>
      <c r="D43" s="48"/>
      <c r="E43" s="48"/>
      <c r="F43" s="48"/>
      <c r="G43" s="81"/>
      <c r="H43" s="10"/>
    </row>
    <row r="44" spans="2:12" ht="20.399999999999999">
      <c r="B44" s="5"/>
      <c r="C44" s="288" t="s">
        <v>26</v>
      </c>
      <c r="D44" s="289"/>
      <c r="E44" s="289"/>
      <c r="F44" s="82">
        <f>F31+F41</f>
        <v>269934682.75</v>
      </c>
      <c r="G44" s="83">
        <f>G4-F44</f>
        <v>483195910.30500007</v>
      </c>
      <c r="H44" s="10"/>
      <c r="L44" s="111">
        <v>3064367.25</v>
      </c>
    </row>
    <row r="45" spans="2:12" ht="20.399999999999999">
      <c r="B45" s="5"/>
      <c r="C45" s="84" t="s">
        <v>27</v>
      </c>
      <c r="D45" s="85"/>
      <c r="E45" s="86"/>
      <c r="F45" s="87"/>
      <c r="G45" s="42"/>
      <c r="H45" s="10"/>
      <c r="L45" s="1">
        <f>5324450+3191882.75+6419300</f>
        <v>14935632.75</v>
      </c>
    </row>
    <row r="46" spans="2:12" ht="21">
      <c r="B46" s="5"/>
      <c r="C46" s="88" t="s">
        <v>28</v>
      </c>
      <c r="D46" s="89" t="s">
        <v>1</v>
      </c>
      <c r="E46" s="90">
        <f>F42</f>
        <v>0</v>
      </c>
      <c r="F46" s="87"/>
      <c r="G46" s="42"/>
      <c r="H46" s="10"/>
    </row>
    <row r="47" spans="2:12" ht="20.399999999999999">
      <c r="B47" s="5"/>
      <c r="C47" s="88" t="s">
        <v>29</v>
      </c>
      <c r="D47" s="89" t="s">
        <v>1</v>
      </c>
      <c r="E47" s="91" t="s">
        <v>30</v>
      </c>
      <c r="F47" s="87"/>
      <c r="G47" s="42"/>
      <c r="H47" s="10"/>
    </row>
    <row r="48" spans="2:12" ht="20.399999999999999">
      <c r="B48" s="5"/>
      <c r="C48" s="92" t="s">
        <v>31</v>
      </c>
      <c r="D48" s="93" t="s">
        <v>1</v>
      </c>
      <c r="E48" s="94" t="s">
        <v>32</v>
      </c>
      <c r="F48" s="290" t="s">
        <v>50</v>
      </c>
      <c r="G48" s="291"/>
      <c r="H48" s="10"/>
    </row>
    <row r="49" spans="2:8" ht="6" customHeight="1">
      <c r="B49" s="95"/>
      <c r="C49" s="96"/>
      <c r="D49" s="96"/>
      <c r="E49" s="96"/>
      <c r="F49" s="96"/>
      <c r="G49" s="96"/>
      <c r="H49" s="97"/>
    </row>
    <row r="50" spans="2:8" ht="18.600000000000001">
      <c r="C50" s="98"/>
      <c r="D50" s="98"/>
      <c r="E50" s="98"/>
      <c r="F50" s="98"/>
      <c r="G50" s="98"/>
    </row>
    <row r="51" spans="2:8" ht="19.8">
      <c r="C51" s="99" t="s">
        <v>34</v>
      </c>
      <c r="D51" s="100"/>
      <c r="E51" s="101"/>
      <c r="F51" s="102"/>
      <c r="G51" s="98"/>
    </row>
    <row r="52" spans="2:8" ht="19.8">
      <c r="C52" s="99"/>
      <c r="D52" s="100"/>
      <c r="E52" s="101"/>
      <c r="F52" s="103" t="s">
        <v>35</v>
      </c>
      <c r="G52" s="104">
        <v>15000000</v>
      </c>
    </row>
    <row r="53" spans="2:8" ht="19.8">
      <c r="C53" s="99" t="s">
        <v>36</v>
      </c>
      <c r="D53" s="100"/>
      <c r="E53" s="101">
        <v>75313059305.5</v>
      </c>
      <c r="F53" s="105" t="s">
        <v>37</v>
      </c>
      <c r="G53" s="106"/>
    </row>
    <row r="54" spans="2:8" ht="19.8">
      <c r="C54" s="107">
        <v>0.01</v>
      </c>
      <c r="D54" s="100"/>
      <c r="E54" s="101">
        <f>E53*C54</f>
        <v>753130593.05500007</v>
      </c>
      <c r="F54" s="105" t="s">
        <v>38</v>
      </c>
      <c r="G54" s="108"/>
    </row>
    <row r="55" spans="2:8" ht="18.600000000000001">
      <c r="C55" s="98"/>
      <c r="D55" s="98"/>
      <c r="E55" s="98"/>
      <c r="F55" s="98"/>
      <c r="G55" s="98"/>
    </row>
    <row r="56" spans="2:8" ht="18.600000000000001">
      <c r="C56" s="98"/>
      <c r="D56" s="98"/>
      <c r="E56" s="98"/>
      <c r="F56" s="98"/>
      <c r="G56" s="98"/>
    </row>
  </sheetData>
  <mergeCells count="30">
    <mergeCell ref="D38:E38"/>
    <mergeCell ref="D40:E40"/>
    <mergeCell ref="D41:E41"/>
    <mergeCell ref="C44:E44"/>
    <mergeCell ref="F48:G48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3:L57"/>
  <sheetViews>
    <sheetView view="pageBreakPreview" topLeftCell="A23" zoomScale="85" zoomScaleNormal="85" workbookViewId="0">
      <selection activeCell="D30" sqref="D3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285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283104682.75</v>
      </c>
      <c r="H5" s="10"/>
    </row>
    <row r="6" spans="2:8" ht="21">
      <c r="B6" s="5"/>
      <c r="C6" s="11" t="s">
        <v>7</v>
      </c>
      <c r="D6" s="12" t="s">
        <v>1</v>
      </c>
      <c r="E6" s="15" t="s">
        <v>286</v>
      </c>
      <c r="F6" s="11" t="s">
        <v>9</v>
      </c>
      <c r="G6" s="14">
        <f>G4-G5</f>
        <v>470025910.30500007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0.62409615893889836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287</v>
      </c>
      <c r="D28" s="322" t="s">
        <v>288</v>
      </c>
      <c r="E28" s="323"/>
      <c r="F28" s="36">
        <f>+LK.31!F38+LK.32!F41</f>
        <v>19363300</v>
      </c>
      <c r="G28" s="37"/>
      <c r="H28" s="10"/>
    </row>
    <row r="29" spans="2:12" ht="20.399999999999999">
      <c r="B29" s="5"/>
      <c r="C29" s="40"/>
      <c r="D29" s="320" t="s">
        <v>289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269934682.75</v>
      </c>
      <c r="G31" s="51">
        <f>G4-F31</f>
        <v>483195910.30500007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297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307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8" t="s">
        <v>290</v>
      </c>
      <c r="E36" s="309"/>
      <c r="F36" s="64">
        <v>0</v>
      </c>
      <c r="G36" s="65">
        <v>0</v>
      </c>
      <c r="H36" s="10"/>
      <c r="L36" s="1">
        <f>192500000+13000000</f>
        <v>205500000</v>
      </c>
    </row>
    <row r="37" spans="2:12" ht="19.8" customHeight="1">
      <c r="B37" s="5"/>
      <c r="C37" s="67" t="s">
        <v>282</v>
      </c>
      <c r="D37" s="310" t="s">
        <v>291</v>
      </c>
      <c r="E37" s="311"/>
      <c r="F37" s="65">
        <v>1439817.25</v>
      </c>
      <c r="G37" s="65">
        <v>0</v>
      </c>
      <c r="H37" s="10"/>
      <c r="L37" s="1">
        <f>218500000+13000000+11000000</f>
        <v>242500000</v>
      </c>
    </row>
    <row r="38" spans="2:12" ht="19.8" customHeight="1">
      <c r="B38" s="5"/>
      <c r="C38" s="67" t="s">
        <v>292</v>
      </c>
      <c r="D38" s="310" t="s">
        <v>293</v>
      </c>
      <c r="E38" s="311"/>
      <c r="F38" s="65">
        <v>8000000</v>
      </c>
      <c r="G38" s="65">
        <v>0</v>
      </c>
      <c r="H38" s="10"/>
    </row>
    <row r="39" spans="2:12" ht="19.8">
      <c r="B39" s="5"/>
      <c r="C39" s="67" t="s">
        <v>294</v>
      </c>
      <c r="D39" s="310" t="s">
        <v>295</v>
      </c>
      <c r="E39" s="311"/>
      <c r="F39" s="65">
        <v>3730182.75</v>
      </c>
      <c r="G39" s="65">
        <f>20000000-F39</f>
        <v>16269817.25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312" t="s">
        <v>141</v>
      </c>
      <c r="E41" s="307"/>
      <c r="F41" s="62"/>
      <c r="G41" s="72"/>
      <c r="H41" s="10"/>
      <c r="L41" s="110">
        <v>14509106.75</v>
      </c>
    </row>
    <row r="42" spans="2:12" ht="21">
      <c r="B42" s="5"/>
      <c r="C42" s="67">
        <v>45063</v>
      </c>
      <c r="D42" s="313" t="s">
        <v>296</v>
      </c>
      <c r="E42" s="314"/>
      <c r="F42" s="73">
        <v>13170000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F42-SUM(F36:F39)</f>
        <v>0</v>
      </c>
      <c r="G43" s="79"/>
      <c r="H43" s="10"/>
      <c r="L43" s="109">
        <f>F39+G39+3866346.75</f>
        <v>23866346.75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88" t="s">
        <v>26</v>
      </c>
      <c r="D45" s="289"/>
      <c r="E45" s="289"/>
      <c r="F45" s="82">
        <f>F31+F42</f>
        <v>283104682.75</v>
      </c>
      <c r="G45" s="83">
        <f>G4-F45</f>
        <v>470025910.30500007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90" t="s">
        <v>50</v>
      </c>
      <c r="G49" s="291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F49:G49"/>
    <mergeCell ref="D38:E38"/>
    <mergeCell ref="D39:E39"/>
    <mergeCell ref="D41:E41"/>
    <mergeCell ref="D42:E42"/>
    <mergeCell ref="C45:E45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3:L55"/>
  <sheetViews>
    <sheetView view="pageBreakPreview" topLeftCell="A20" zoomScale="85" zoomScaleNormal="85" workbookViewId="0">
      <selection activeCell="E32" sqref="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297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287715182.75</v>
      </c>
      <c r="H5" s="10"/>
    </row>
    <row r="6" spans="2:8" ht="21">
      <c r="B6" s="5"/>
      <c r="C6" s="11" t="s">
        <v>7</v>
      </c>
      <c r="D6" s="12" t="s">
        <v>1</v>
      </c>
      <c r="E6" s="15" t="s">
        <v>298</v>
      </c>
      <c r="F6" s="11" t="s">
        <v>9</v>
      </c>
      <c r="G6" s="14">
        <f>G4-G5</f>
        <v>465415410.30500007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0.6179743786759323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299</v>
      </c>
      <c r="D28" s="322" t="s">
        <v>300</v>
      </c>
      <c r="E28" s="323"/>
      <c r="F28" s="36">
        <f>+LK.31!F38+LK.32!F41+LK.33!F42</f>
        <v>32533300</v>
      </c>
      <c r="G28" s="37"/>
      <c r="H28" s="10"/>
    </row>
    <row r="29" spans="2:12" ht="20.399999999999999">
      <c r="B29" s="5"/>
      <c r="C29" s="40"/>
      <c r="D29" s="320" t="s">
        <v>301</v>
      </c>
      <c r="E29" s="321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283104682.75</v>
      </c>
      <c r="G31" s="51">
        <f>G4-F31</f>
        <v>470025910.30500007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297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307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8" t="s">
        <v>302</v>
      </c>
      <c r="E36" s="309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310" t="s">
        <v>303</v>
      </c>
      <c r="E37" s="311"/>
      <c r="F37" s="65">
        <v>4610500</v>
      </c>
      <c r="G37" s="65">
        <f>20000000-3730182.75-F37</f>
        <v>11659317.25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312" t="s">
        <v>141</v>
      </c>
      <c r="E39" s="307"/>
      <c r="F39" s="62"/>
      <c r="G39" s="72"/>
      <c r="H39" s="10"/>
      <c r="L39" s="110">
        <v>14509106.75</v>
      </c>
    </row>
    <row r="40" spans="2:12" ht="21">
      <c r="B40" s="5"/>
      <c r="C40" s="67">
        <v>45063</v>
      </c>
      <c r="D40" s="313" t="s">
        <v>304</v>
      </c>
      <c r="E40" s="314"/>
      <c r="F40" s="73">
        <v>4610500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20136164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88" t="s">
        <v>26</v>
      </c>
      <c r="D43" s="289"/>
      <c r="E43" s="289"/>
      <c r="F43" s="82">
        <f>F31+F40</f>
        <v>287715182.75</v>
      </c>
      <c r="G43" s="83">
        <f>G4-F43</f>
        <v>465415410.30500007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90" t="s">
        <v>50</v>
      </c>
      <c r="G47" s="291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B3:L55"/>
  <sheetViews>
    <sheetView view="pageBreakPreview" topLeftCell="A20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305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290137182.75</v>
      </c>
      <c r="H5" s="10"/>
    </row>
    <row r="6" spans="2:8" ht="21">
      <c r="B6" s="5"/>
      <c r="C6" s="11" t="s">
        <v>7</v>
      </c>
      <c r="D6" s="12" t="s">
        <v>1</v>
      </c>
      <c r="E6" s="15" t="s">
        <v>306</v>
      </c>
      <c r="F6" s="11" t="s">
        <v>9</v>
      </c>
      <c r="G6" s="14">
        <f>G4-G5</f>
        <v>462993410.30500007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0.61475846894880859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37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39"/>
      <c r="H29" s="10"/>
      <c r="L29" s="1">
        <v>9237317.25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287715182.75</v>
      </c>
      <c r="G31" s="51">
        <f>G4-F31</f>
        <v>465415410.30500007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297" t="s">
        <v>132</v>
      </c>
      <c r="E33" s="305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06" t="s">
        <v>133</v>
      </c>
      <c r="E35" s="307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08" t="s">
        <v>302</v>
      </c>
      <c r="E36" s="309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310" t="s">
        <v>310</v>
      </c>
      <c r="E37" s="311"/>
      <c r="F37" s="65">
        <v>2422000</v>
      </c>
      <c r="G37" s="65">
        <f>20000000-8340682.75-F37</f>
        <v>9237317.25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312" t="s">
        <v>141</v>
      </c>
      <c r="E39" s="307"/>
      <c r="F39" s="62"/>
      <c r="G39" s="72"/>
      <c r="H39" s="10"/>
      <c r="L39" s="110">
        <v>14509106.75</v>
      </c>
    </row>
    <row r="40" spans="2:12" ht="21">
      <c r="B40" s="5"/>
      <c r="C40" s="67">
        <v>45065</v>
      </c>
      <c r="D40" s="313" t="s">
        <v>311</v>
      </c>
      <c r="E40" s="314"/>
      <c r="F40" s="73">
        <v>2422000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15525664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88" t="s">
        <v>26</v>
      </c>
      <c r="D43" s="289"/>
      <c r="E43" s="289"/>
      <c r="F43" s="82">
        <f>F31+F40</f>
        <v>290137182.75</v>
      </c>
      <c r="G43" s="83">
        <f>G4-F43</f>
        <v>462993410.30500007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90" t="s">
        <v>50</v>
      </c>
      <c r="G47" s="291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B3:L58"/>
  <sheetViews>
    <sheetView view="pageBreakPreview" zoomScale="85" zoomScaleNormal="85" workbookViewId="0">
      <selection activeCell="E34" sqref="E3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312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299952382.75</v>
      </c>
      <c r="H5" s="10"/>
    </row>
    <row r="6" spans="2:8" ht="21">
      <c r="B6" s="5"/>
      <c r="C6" s="11" t="s">
        <v>7</v>
      </c>
      <c r="D6" s="12" t="s">
        <v>1</v>
      </c>
      <c r="E6" s="15" t="s">
        <v>313</v>
      </c>
      <c r="F6" s="11" t="s">
        <v>9</v>
      </c>
      <c r="G6" s="14">
        <f>G4-G5</f>
        <v>453178210.30500007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0.60172593502904625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314</v>
      </c>
      <c r="D30" s="322" t="s">
        <v>315</v>
      </c>
      <c r="E30" s="323"/>
      <c r="F30" s="36">
        <f>+LK.35!F40</f>
        <v>2422000</v>
      </c>
      <c r="G30" s="37"/>
      <c r="H30" s="10"/>
    </row>
    <row r="31" spans="2:12" ht="20.399999999999999">
      <c r="B31" s="5"/>
      <c r="C31" s="40"/>
      <c r="D31" s="320" t="s">
        <v>316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290137182.75</v>
      </c>
      <c r="G33" s="51">
        <f>G4-F33</f>
        <v>462993410.30500007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297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307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8" t="s">
        <v>302</v>
      </c>
      <c r="E38" s="309"/>
      <c r="F38" s="64">
        <v>0</v>
      </c>
      <c r="G38" s="65">
        <v>0</v>
      </c>
      <c r="H38" s="10"/>
      <c r="L38" s="1">
        <v>10422117.25</v>
      </c>
    </row>
    <row r="39" spans="2:12" ht="19.8">
      <c r="B39" s="5"/>
      <c r="C39" s="67" t="s">
        <v>294</v>
      </c>
      <c r="D39" s="310" t="s">
        <v>317</v>
      </c>
      <c r="E39" s="311"/>
      <c r="F39" s="65">
        <v>9237317.25</v>
      </c>
      <c r="G39" s="65">
        <v>0</v>
      </c>
      <c r="H39" s="10"/>
      <c r="J39" s="112"/>
    </row>
    <row r="40" spans="2:12" ht="19.8">
      <c r="B40" s="5"/>
      <c r="C40" s="66" t="s">
        <v>318</v>
      </c>
      <c r="D40" s="310" t="s">
        <v>319</v>
      </c>
      <c r="E40" s="311"/>
      <c r="F40" s="65">
        <v>577882.75</v>
      </c>
      <c r="G40" s="65">
        <f>11000000-F40</f>
        <v>10422117.25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2" t="s">
        <v>141</v>
      </c>
      <c r="E42" s="307"/>
      <c r="F42" s="62"/>
      <c r="G42" s="72"/>
      <c r="H42" s="10"/>
      <c r="L42" s="110">
        <v>14509106.75</v>
      </c>
    </row>
    <row r="43" spans="2:12" ht="21">
      <c r="B43" s="5"/>
      <c r="C43" s="67">
        <v>45065</v>
      </c>
      <c r="D43" s="313" t="s">
        <v>320</v>
      </c>
      <c r="E43" s="314"/>
      <c r="F43" s="73">
        <v>9815200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14866346.75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8" t="s">
        <v>26</v>
      </c>
      <c r="D46" s="289"/>
      <c r="E46" s="289"/>
      <c r="F46" s="82">
        <f>F33+F43</f>
        <v>299952382.75</v>
      </c>
      <c r="G46" s="83">
        <f>G4-F46</f>
        <v>453178210.30500007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0" t="s">
        <v>50</v>
      </c>
      <c r="G50" s="291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B3:L57"/>
  <sheetViews>
    <sheetView view="pageBreakPreview" topLeftCell="A20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321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308562782.75</v>
      </c>
      <c r="H5" s="10"/>
    </row>
    <row r="6" spans="2:8" ht="21">
      <c r="B6" s="5"/>
      <c r="C6" s="11" t="s">
        <v>7</v>
      </c>
      <c r="D6" s="12" t="s">
        <v>1</v>
      </c>
      <c r="E6" s="15" t="s">
        <v>322</v>
      </c>
      <c r="F6" s="11" t="s">
        <v>9</v>
      </c>
      <c r="G6" s="14">
        <f>G4-G5</f>
        <v>444567810.30500007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0.59029312366883746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323</v>
      </c>
      <c r="D30" s="322" t="s">
        <v>324</v>
      </c>
      <c r="E30" s="323"/>
      <c r="F30" s="36">
        <f>+LK.35!F40+LK.36!F43</f>
        <v>12237200</v>
      </c>
      <c r="G30" s="37"/>
      <c r="H30" s="10"/>
    </row>
    <row r="31" spans="2:12" ht="20.399999999999999">
      <c r="B31" s="5"/>
      <c r="C31" s="40"/>
      <c r="D31" s="320" t="s">
        <v>325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299952382.75</v>
      </c>
      <c r="G33" s="51">
        <f>G4-F33</f>
        <v>453178210.30500007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297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307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8" t="s">
        <v>326</v>
      </c>
      <c r="E38" s="309"/>
      <c r="F38" s="64">
        <v>0</v>
      </c>
      <c r="G38" s="65">
        <v>0</v>
      </c>
      <c r="H38" s="10"/>
      <c r="L38" s="1">
        <v>1811717.25</v>
      </c>
    </row>
    <row r="39" spans="2:12" ht="19.8">
      <c r="B39" s="5"/>
      <c r="C39" s="66" t="s">
        <v>318</v>
      </c>
      <c r="D39" s="310" t="s">
        <v>327</v>
      </c>
      <c r="E39" s="311"/>
      <c r="F39" s="65">
        <v>8610400</v>
      </c>
      <c r="G39" s="65">
        <f>11000000-577882.75-F39</f>
        <v>1811717.25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312" t="s">
        <v>141</v>
      </c>
      <c r="E41" s="307"/>
      <c r="F41" s="62"/>
      <c r="G41" s="72"/>
      <c r="H41" s="10"/>
      <c r="L41" s="110">
        <v>14509106.75</v>
      </c>
    </row>
    <row r="42" spans="2:12" ht="21">
      <c r="B42" s="5"/>
      <c r="C42" s="67">
        <v>45076</v>
      </c>
      <c r="D42" s="313" t="s">
        <v>328</v>
      </c>
      <c r="E42" s="314"/>
      <c r="F42" s="73">
        <v>8610400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F42-SUM(F38:F39)</f>
        <v>0</v>
      </c>
      <c r="G43" s="79"/>
      <c r="H43" s="10"/>
      <c r="L43" s="109">
        <f>F39+G39+3866346.75</f>
        <v>14288464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88" t="s">
        <v>26</v>
      </c>
      <c r="D45" s="289"/>
      <c r="E45" s="289"/>
      <c r="F45" s="82">
        <f>F33+F42</f>
        <v>308562782.75</v>
      </c>
      <c r="G45" s="83">
        <f>G4-F45</f>
        <v>444567810.30500007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  <c r="L47" s="1">
        <v>11659317.25</v>
      </c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90" t="s">
        <v>50</v>
      </c>
      <c r="G49" s="291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F49:G49"/>
    <mergeCell ref="D38:E38"/>
    <mergeCell ref="D39:E39"/>
    <mergeCell ref="D41:E41"/>
    <mergeCell ref="D42:E42"/>
    <mergeCell ref="C45:E45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3:L58"/>
  <sheetViews>
    <sheetView view="pageBreakPreview" topLeftCell="A23" zoomScale="85" zoomScaleNormal="85" workbookViewId="0">
      <selection activeCell="L38" sqref="L3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329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313536582.75</v>
      </c>
      <c r="H5" s="10"/>
    </row>
    <row r="6" spans="2:8" ht="21">
      <c r="B6" s="5"/>
      <c r="C6" s="11" t="s">
        <v>7</v>
      </c>
      <c r="D6" s="12" t="s">
        <v>1</v>
      </c>
      <c r="E6" s="15" t="s">
        <v>330</v>
      </c>
      <c r="F6" s="11" t="s">
        <v>9</v>
      </c>
      <c r="G6" s="14">
        <f>G4-G5</f>
        <v>439594010.30500007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0.58368895694680289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331</v>
      </c>
      <c r="D30" s="322" t="s">
        <v>332</v>
      </c>
      <c r="E30" s="323"/>
      <c r="F30" s="36">
        <f>+LK.35!F40+LK.36!F43+LK.37!F42</f>
        <v>20847600</v>
      </c>
      <c r="G30" s="37"/>
      <c r="H30" s="10"/>
    </row>
    <row r="31" spans="2:12" ht="20.399999999999999">
      <c r="B31" s="5"/>
      <c r="C31" s="40"/>
      <c r="D31" s="320" t="s">
        <v>333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308562782.75</v>
      </c>
      <c r="G33" s="51">
        <f>G4-F33</f>
        <v>444567810.30500007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297" t="s">
        <v>132</v>
      </c>
      <c r="E35" s="305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307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8" t="s">
        <v>326</v>
      </c>
      <c r="E38" s="309"/>
      <c r="F38" s="64">
        <v>0</v>
      </c>
      <c r="G38" s="65">
        <v>0</v>
      </c>
      <c r="H38" s="10"/>
      <c r="L38" s="1">
        <v>5837917.25</v>
      </c>
    </row>
    <row r="39" spans="2:12" ht="19.8">
      <c r="B39" s="5"/>
      <c r="C39" s="66" t="s">
        <v>318</v>
      </c>
      <c r="D39" s="310" t="s">
        <v>334</v>
      </c>
      <c r="E39" s="311"/>
      <c r="F39" s="65">
        <v>1811717.25</v>
      </c>
      <c r="G39" s="65">
        <v>0</v>
      </c>
      <c r="H39" s="10"/>
    </row>
    <row r="40" spans="2:12" ht="19.8">
      <c r="B40" s="5"/>
      <c r="C40" s="66" t="s">
        <v>335</v>
      </c>
      <c r="D40" s="310" t="s">
        <v>336</v>
      </c>
      <c r="E40" s="311"/>
      <c r="F40" s="65">
        <v>3162082.75</v>
      </c>
      <c r="G40" s="65">
        <f>9000000-F40</f>
        <v>5837917.25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2" t="s">
        <v>141</v>
      </c>
      <c r="E42" s="307"/>
      <c r="F42" s="62"/>
      <c r="G42" s="72"/>
      <c r="H42" s="10"/>
      <c r="L42" s="110">
        <v>14509106.75</v>
      </c>
    </row>
    <row r="43" spans="2:12" ht="21">
      <c r="B43" s="5"/>
      <c r="C43" s="67">
        <v>45076</v>
      </c>
      <c r="D43" s="313" t="s">
        <v>337</v>
      </c>
      <c r="E43" s="314"/>
      <c r="F43" s="73">
        <v>4973800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12866346.75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8" t="s">
        <v>26</v>
      </c>
      <c r="D46" s="289"/>
      <c r="E46" s="289"/>
      <c r="F46" s="82">
        <f>F33+F43</f>
        <v>313536582.75</v>
      </c>
      <c r="G46" s="83">
        <f>G4-F46</f>
        <v>439594010.30500007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0" t="s">
        <v>50</v>
      </c>
      <c r="G50" s="291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3:L58"/>
  <sheetViews>
    <sheetView view="pageBreakPreview" topLeftCell="A29" zoomScale="85" zoomScaleNormal="85" workbookViewId="0">
      <selection activeCell="I39" sqref="I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338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317615932.75</v>
      </c>
      <c r="H5" s="10"/>
    </row>
    <row r="6" spans="2:8" ht="21">
      <c r="B6" s="5"/>
      <c r="C6" s="11" t="s">
        <v>7</v>
      </c>
      <c r="D6" s="12" t="s">
        <v>1</v>
      </c>
      <c r="E6" s="15" t="s">
        <v>339</v>
      </c>
      <c r="F6" s="11" t="s">
        <v>9</v>
      </c>
      <c r="G6" s="14">
        <f>G4-G5</f>
        <v>435514660.30500007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0.57827243285706631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12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12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0" t="s">
        <v>175</v>
      </c>
      <c r="E21" s="321"/>
      <c r="F21" s="38"/>
      <c r="G21" s="39"/>
      <c r="H21" s="10"/>
    </row>
    <row r="22" spans="2:12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12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12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12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12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37"/>
      <c r="H30" s="10"/>
    </row>
    <row r="31" spans="2:12" ht="20.399999999999999">
      <c r="B31" s="5"/>
      <c r="C31" s="40"/>
      <c r="D31" s="320" t="s">
        <v>342</v>
      </c>
      <c r="E31" s="321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313536582.75</v>
      </c>
      <c r="G33" s="51">
        <f>G4-F33</f>
        <v>439594010.30500007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297" t="s">
        <v>132</v>
      </c>
      <c r="E35" s="305"/>
      <c r="F35" s="59">
        <v>0</v>
      </c>
      <c r="G35" s="60"/>
      <c r="H35" s="10"/>
      <c r="L35" s="1">
        <f>282+11</f>
        <v>293</v>
      </c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06" t="s">
        <v>133</v>
      </c>
      <c r="E37" s="307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08" t="s">
        <v>343</v>
      </c>
      <c r="E38" s="309"/>
      <c r="F38" s="64">
        <v>0</v>
      </c>
      <c r="G38" s="65">
        <v>0</v>
      </c>
      <c r="H38" s="10"/>
      <c r="L38" s="1">
        <v>5837917.25</v>
      </c>
    </row>
    <row r="39" spans="2:12" ht="19.8" customHeight="1">
      <c r="B39" s="5"/>
      <c r="C39" s="66" t="s">
        <v>335</v>
      </c>
      <c r="D39" s="310" t="s">
        <v>344</v>
      </c>
      <c r="E39" s="311"/>
      <c r="F39" s="65">
        <v>4079350</v>
      </c>
      <c r="G39" s="65">
        <f>9000000-3162082.75-F39</f>
        <v>1758567.25</v>
      </c>
      <c r="H39" s="10"/>
    </row>
    <row r="40" spans="2:12" ht="19.8">
      <c r="B40" s="5"/>
      <c r="C40" s="66"/>
      <c r="D40" s="310"/>
      <c r="E40" s="311"/>
      <c r="F40" s="65"/>
      <c r="G40" s="65"/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2" t="s">
        <v>141</v>
      </c>
      <c r="E42" s="307"/>
      <c r="F42" s="62"/>
      <c r="G42" s="72"/>
      <c r="H42" s="10"/>
      <c r="L42" s="110">
        <v>14509106.75</v>
      </c>
    </row>
    <row r="43" spans="2:12" ht="21">
      <c r="B43" s="5"/>
      <c r="C43" s="67">
        <v>45099</v>
      </c>
      <c r="D43" s="313" t="s">
        <v>345</v>
      </c>
      <c r="E43" s="314"/>
      <c r="F43" s="73">
        <v>4079350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3866346.75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88" t="s">
        <v>26</v>
      </c>
      <c r="D46" s="289"/>
      <c r="E46" s="289"/>
      <c r="F46" s="82">
        <f>F33+F43</f>
        <v>317615932.75</v>
      </c>
      <c r="G46" s="83">
        <f>G4-F46</f>
        <v>435514660.30500007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0" t="s">
        <v>50</v>
      </c>
      <c r="G50" s="291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44"/>
  <sheetViews>
    <sheetView zoomScale="70" zoomScaleNormal="70" workbookViewId="0">
      <selection activeCell="E24" sqref="E24:G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51</v>
      </c>
      <c r="F4" s="261" t="s">
        <v>3</v>
      </c>
      <c r="G4" s="262"/>
      <c r="H4" s="9">
        <f>+E42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G32</f>
        <v>16847894</v>
      </c>
      <c r="I5" s="10"/>
    </row>
    <row r="6" spans="2:9" ht="21">
      <c r="B6" s="5"/>
      <c r="C6" s="11" t="s">
        <v>7</v>
      </c>
      <c r="D6" s="12" t="s">
        <v>1</v>
      </c>
      <c r="E6" s="15" t="s">
        <v>52</v>
      </c>
      <c r="F6" s="263" t="s">
        <v>9</v>
      </c>
      <c r="G6" s="264"/>
      <c r="H6" s="14">
        <f>H4-H5</f>
        <v>736282699.05500007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0.97762951849869995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6"/>
      <c r="F18" s="98"/>
      <c r="H18" s="190"/>
      <c r="I18" s="10"/>
    </row>
    <row r="19" spans="2:9" ht="18.600000000000001">
      <c r="B19" s="5"/>
      <c r="C19" s="217"/>
      <c r="D19" s="98"/>
      <c r="E19" s="222" t="s">
        <v>18</v>
      </c>
      <c r="F19" s="223"/>
      <c r="G19" s="224">
        <f>SUM(G15:G17)</f>
        <v>13255894</v>
      </c>
      <c r="H19" s="225">
        <f>H10-G19</f>
        <v>739874699.05500007</v>
      </c>
      <c r="I19" s="10"/>
    </row>
    <row r="20" spans="2:9" ht="18.600000000000001">
      <c r="B20" s="5"/>
      <c r="C20" s="189"/>
      <c r="D20" s="98"/>
      <c r="E20" s="98"/>
      <c r="F20" s="98"/>
      <c r="G20" s="98"/>
      <c r="H20" s="190"/>
      <c r="I20" s="10"/>
    </row>
    <row r="21" spans="2:9" ht="19.8">
      <c r="B21" s="5"/>
      <c r="C21" s="269" t="s">
        <v>19</v>
      </c>
      <c r="D21" s="272"/>
      <c r="E21" s="272"/>
      <c r="F21" s="98"/>
      <c r="G21" s="98"/>
      <c r="H21" s="190"/>
      <c r="I21" s="10"/>
    </row>
    <row r="22" spans="2:9" ht="19.8">
      <c r="B22" s="5"/>
      <c r="C22" s="215" t="s">
        <v>20</v>
      </c>
      <c r="D22" s="226" t="s">
        <v>21</v>
      </c>
      <c r="E22" s="226" t="s">
        <v>22</v>
      </c>
      <c r="F22" s="98"/>
      <c r="G22" s="98"/>
      <c r="H22" s="190"/>
      <c r="I22" s="10"/>
    </row>
    <row r="23" spans="2:9" ht="19.8">
      <c r="B23" s="5"/>
      <c r="C23" s="227">
        <v>44712</v>
      </c>
      <c r="D23" s="216" t="s">
        <v>23</v>
      </c>
      <c r="E23" s="223" t="s">
        <v>51</v>
      </c>
      <c r="F23" s="223"/>
      <c r="G23" s="228">
        <v>3592000</v>
      </c>
      <c r="H23" s="190"/>
      <c r="I23" s="10"/>
    </row>
    <row r="24" spans="2:9" ht="20.399999999999999">
      <c r="B24" s="5"/>
      <c r="C24" s="227">
        <v>44673</v>
      </c>
      <c r="D24" s="216"/>
      <c r="E24" s="229" t="s">
        <v>45</v>
      </c>
      <c r="F24" s="230"/>
      <c r="G24" s="231">
        <v>0</v>
      </c>
      <c r="H24" s="190"/>
      <c r="I24" s="10"/>
    </row>
    <row r="25" spans="2:9" ht="19.8">
      <c r="B25" s="5"/>
      <c r="C25" s="227"/>
      <c r="D25" s="216"/>
      <c r="E25" s="229" t="s">
        <v>54</v>
      </c>
      <c r="F25" s="232"/>
      <c r="G25" s="233">
        <v>2618606</v>
      </c>
      <c r="H25" s="190"/>
      <c r="I25" s="10"/>
    </row>
    <row r="26" spans="2:9" ht="19.8">
      <c r="B26" s="5"/>
      <c r="C26" s="227"/>
      <c r="D26" s="216"/>
      <c r="E26" s="234" t="s">
        <v>55</v>
      </c>
      <c r="F26" s="232"/>
      <c r="G26" s="233">
        <v>973394</v>
      </c>
      <c r="H26" s="190"/>
      <c r="I26" s="10"/>
    </row>
    <row r="27" spans="2:9" ht="19.8">
      <c r="B27" s="5"/>
      <c r="C27" s="227"/>
      <c r="D27" s="216"/>
      <c r="E27" s="234" t="s">
        <v>48</v>
      </c>
      <c r="F27" s="232"/>
      <c r="G27" s="233"/>
      <c r="H27" s="190"/>
      <c r="I27" s="10"/>
    </row>
    <row r="28" spans="2:9" ht="19.8">
      <c r="B28" s="5"/>
      <c r="C28" s="227"/>
      <c r="D28" s="216"/>
      <c r="E28" s="234" t="s">
        <v>49</v>
      </c>
      <c r="F28" s="232"/>
      <c r="G28" s="233"/>
      <c r="H28" s="190"/>
      <c r="I28" s="10"/>
    </row>
    <row r="29" spans="2:9" ht="18.600000000000001">
      <c r="B29" s="5"/>
      <c r="C29" s="189"/>
      <c r="D29" s="98"/>
      <c r="E29" s="98"/>
      <c r="F29" s="98"/>
      <c r="G29" s="235">
        <v>0</v>
      </c>
      <c r="H29" s="190"/>
      <c r="I29" s="10"/>
    </row>
    <row r="30" spans="2:9" ht="19.8">
      <c r="B30" s="5"/>
      <c r="C30" s="189"/>
      <c r="D30" s="98"/>
      <c r="E30" s="236" t="s">
        <v>25</v>
      </c>
      <c r="G30" s="245">
        <f>G23-SUM(G24:G29)</f>
        <v>0</v>
      </c>
      <c r="H30" s="190"/>
      <c r="I30" s="10"/>
    </row>
    <row r="31" spans="2:9" ht="18.600000000000001">
      <c r="B31" s="5"/>
      <c r="C31" s="80"/>
      <c r="D31" s="48"/>
      <c r="E31" s="48"/>
      <c r="F31" s="48"/>
      <c r="G31" s="48"/>
      <c r="H31" s="81"/>
      <c r="I31" s="10"/>
    </row>
    <row r="32" spans="2:9" ht="19.8">
      <c r="B32" s="5"/>
      <c r="C32" s="277" t="s">
        <v>26</v>
      </c>
      <c r="D32" s="278"/>
      <c r="E32" s="278"/>
      <c r="F32" s="53"/>
      <c r="G32" s="202">
        <f>G19+G23</f>
        <v>16847894</v>
      </c>
      <c r="H32" s="203">
        <f>H10-G32</f>
        <v>736282699.05500007</v>
      </c>
      <c r="I32" s="10"/>
    </row>
    <row r="33" spans="2:9" ht="19.8">
      <c r="B33" s="5"/>
      <c r="C33" s="204" t="s">
        <v>27</v>
      </c>
      <c r="D33" s="205"/>
      <c r="E33" s="206"/>
      <c r="F33" s="98"/>
      <c r="G33" s="98"/>
      <c r="H33" s="190"/>
      <c r="I33" s="10"/>
    </row>
    <row r="34" spans="2:9" ht="19.8">
      <c r="B34" s="5"/>
      <c r="C34" s="207" t="s">
        <v>28</v>
      </c>
      <c r="D34" s="208" t="s">
        <v>1</v>
      </c>
      <c r="E34" s="238">
        <f>G30</f>
        <v>0</v>
      </c>
      <c r="F34" s="98"/>
      <c r="G34" s="98"/>
      <c r="H34" s="190"/>
      <c r="I34" s="10"/>
    </row>
    <row r="35" spans="2:9" ht="19.8">
      <c r="B35" s="5"/>
      <c r="C35" s="207" t="s">
        <v>29</v>
      </c>
      <c r="D35" s="208" t="s">
        <v>1</v>
      </c>
      <c r="E35" s="209" t="s">
        <v>30</v>
      </c>
      <c r="F35" s="98"/>
      <c r="G35" s="98"/>
      <c r="H35" s="190"/>
      <c r="I35" s="10"/>
    </row>
    <row r="36" spans="2:9" ht="19.8">
      <c r="B36" s="5"/>
      <c r="C36" s="210" t="s">
        <v>31</v>
      </c>
      <c r="D36" s="211" t="s">
        <v>1</v>
      </c>
      <c r="E36" s="212" t="s">
        <v>32</v>
      </c>
      <c r="F36" s="96"/>
      <c r="G36" s="275" t="s">
        <v>50</v>
      </c>
      <c r="H36" s="276"/>
      <c r="I36" s="10"/>
    </row>
    <row r="37" spans="2:9" ht="6" customHeight="1">
      <c r="B37" s="95"/>
      <c r="C37" s="96"/>
      <c r="D37" s="96"/>
      <c r="E37" s="96"/>
      <c r="F37" s="96"/>
      <c r="G37" s="96"/>
      <c r="H37" s="96"/>
      <c r="I37" s="97"/>
    </row>
    <row r="38" spans="2:9" ht="18.600000000000001">
      <c r="C38" s="98"/>
      <c r="D38" s="98"/>
      <c r="E38" s="98"/>
      <c r="F38" s="98"/>
      <c r="G38" s="98"/>
      <c r="H38" s="98"/>
    </row>
    <row r="39" spans="2:9" ht="19.8">
      <c r="C39" s="99" t="s">
        <v>34</v>
      </c>
      <c r="D39" s="100"/>
      <c r="E39" s="101"/>
      <c r="F39" s="102"/>
      <c r="G39" s="102"/>
      <c r="H39" s="98"/>
    </row>
    <row r="40" spans="2:9" ht="19.8">
      <c r="C40" s="99"/>
      <c r="D40" s="100"/>
      <c r="E40" s="101"/>
      <c r="F40" s="103" t="s">
        <v>35</v>
      </c>
      <c r="G40" s="104">
        <v>15000000</v>
      </c>
      <c r="H40" s="98"/>
    </row>
    <row r="41" spans="2:9" ht="19.8">
      <c r="C41" s="99" t="s">
        <v>36</v>
      </c>
      <c r="D41" s="100"/>
      <c r="E41" s="101">
        <v>75313059305.5</v>
      </c>
      <c r="F41" s="105" t="s">
        <v>37</v>
      </c>
      <c r="G41" s="106"/>
      <c r="H41" s="98"/>
    </row>
    <row r="42" spans="2:9" ht="19.8">
      <c r="C42" s="107">
        <v>0.01</v>
      </c>
      <c r="D42" s="100"/>
      <c r="E42" s="101">
        <f>E41*C42</f>
        <v>753130593.05500007</v>
      </c>
      <c r="F42" s="105" t="s">
        <v>38</v>
      </c>
      <c r="G42" s="108"/>
      <c r="H42" s="98"/>
    </row>
    <row r="43" spans="2:9" ht="18.600000000000001">
      <c r="C43" s="98"/>
      <c r="D43" s="98"/>
      <c r="E43" s="98"/>
      <c r="F43" s="98"/>
      <c r="G43" s="98"/>
      <c r="H43" s="98"/>
    </row>
    <row r="44" spans="2:9" ht="18.600000000000001">
      <c r="C44" s="98"/>
      <c r="D44" s="98"/>
      <c r="E44" s="98"/>
      <c r="F44" s="98"/>
      <c r="G44" s="98"/>
      <c r="H44" s="98"/>
    </row>
  </sheetData>
  <mergeCells count="12">
    <mergeCell ref="C32:E32"/>
    <mergeCell ref="G36:H36"/>
    <mergeCell ref="C11:E11"/>
    <mergeCell ref="D12:E12"/>
    <mergeCell ref="D13:E13"/>
    <mergeCell ref="C14:E14"/>
    <mergeCell ref="C21:E21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3:L60"/>
  <sheetViews>
    <sheetView view="pageBreakPreview" topLeftCell="A32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346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321823932.75</v>
      </c>
      <c r="H5" s="10"/>
    </row>
    <row r="6" spans="2:8" ht="21">
      <c r="B6" s="5"/>
      <c r="C6" s="11" t="s">
        <v>7</v>
      </c>
      <c r="D6" s="12" t="s">
        <v>1</v>
      </c>
      <c r="E6" s="15" t="s">
        <v>347</v>
      </c>
      <c r="F6" s="11" t="s">
        <v>9</v>
      </c>
      <c r="G6" s="14">
        <f>G4-G5</f>
        <v>431306660.30500007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0.572685088459157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348</v>
      </c>
      <c r="D32" s="322" t="s">
        <v>349</v>
      </c>
      <c r="E32" s="323"/>
      <c r="F32" s="36">
        <f>+LK.39!F43</f>
        <v>4079350</v>
      </c>
      <c r="G32" s="37"/>
      <c r="H32" s="10"/>
    </row>
    <row r="33" spans="2:12" ht="20.399999999999999">
      <c r="B33" s="5"/>
      <c r="C33" s="40"/>
      <c r="D33" s="320" t="s">
        <v>350</v>
      </c>
      <c r="E33" s="321"/>
      <c r="F33" s="41"/>
      <c r="G33" s="39"/>
      <c r="H33" s="10"/>
      <c r="L33" s="1">
        <v>9237317.25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317615932.75</v>
      </c>
      <c r="G35" s="51">
        <f>G4-F35</f>
        <v>435514660.30500007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297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307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8" t="s">
        <v>343</v>
      </c>
      <c r="E40" s="309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335</v>
      </c>
      <c r="D41" s="310" t="s">
        <v>351</v>
      </c>
      <c r="E41" s="311"/>
      <c r="F41" s="65">
        <v>1758567.25</v>
      </c>
      <c r="G41" s="65">
        <v>0</v>
      </c>
      <c r="H41" s="10"/>
    </row>
    <row r="42" spans="2:12" ht="19.8">
      <c r="B42" s="5"/>
      <c r="C42" s="66" t="s">
        <v>352</v>
      </c>
      <c r="D42" s="310" t="s">
        <v>353</v>
      </c>
      <c r="E42" s="311"/>
      <c r="F42" s="65">
        <v>2449432.75</v>
      </c>
      <c r="G42" s="65">
        <f>16000000-F42</f>
        <v>13550567.25</v>
      </c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2" t="s">
        <v>141</v>
      </c>
      <c r="E44" s="307"/>
      <c r="F44" s="62"/>
      <c r="G44" s="72"/>
      <c r="H44" s="10"/>
      <c r="L44" s="110">
        <v>14509106.75</v>
      </c>
    </row>
    <row r="45" spans="2:12" ht="21">
      <c r="B45" s="5"/>
      <c r="C45" s="67">
        <v>45099</v>
      </c>
      <c r="D45" s="313" t="s">
        <v>354</v>
      </c>
      <c r="E45" s="314"/>
      <c r="F45" s="73">
        <v>4208000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19866346.75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8" t="s">
        <v>26</v>
      </c>
      <c r="D48" s="289"/>
      <c r="E48" s="289"/>
      <c r="F48" s="82">
        <f>F35+F45</f>
        <v>321823932.75</v>
      </c>
      <c r="G48" s="83">
        <f>G4-F48</f>
        <v>431306660.30500007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0" t="s">
        <v>50</v>
      </c>
      <c r="G52" s="291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3:L60"/>
  <sheetViews>
    <sheetView view="pageBreakPreview" topLeftCell="A30" zoomScale="89" zoomScaleNormal="85" workbookViewId="0">
      <selection activeCell="G41" sqref="G4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355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328808232.75</v>
      </c>
      <c r="H5" s="10"/>
    </row>
    <row r="6" spans="2:8" ht="21">
      <c r="B6" s="5"/>
      <c r="C6" s="11" t="s">
        <v>7</v>
      </c>
      <c r="D6" s="12" t="s">
        <v>1</v>
      </c>
      <c r="E6" s="15" t="s">
        <v>356</v>
      </c>
      <c r="F6" s="11" t="s">
        <v>9</v>
      </c>
      <c r="G6" s="14">
        <f>G4-G5</f>
        <v>424322360.30500007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0.56341139799377715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357</v>
      </c>
      <c r="D32" s="322" t="s">
        <v>349</v>
      </c>
      <c r="E32" s="323"/>
      <c r="F32" s="36">
        <f>+LK.39!F43+LK.40!F45</f>
        <v>8287350</v>
      </c>
      <c r="G32" s="37"/>
      <c r="H32" s="10"/>
    </row>
    <row r="33" spans="2:12" ht="20.399999999999999">
      <c r="B33" s="5"/>
      <c r="C33" s="40"/>
      <c r="D33" s="320" t="s">
        <v>358</v>
      </c>
      <c r="E33" s="321"/>
      <c r="F33" s="41"/>
      <c r="G33" s="39"/>
      <c r="H33" s="10"/>
      <c r="L33" s="1">
        <v>6566267.25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321823932.75</v>
      </c>
      <c r="G35" s="51">
        <f>G4-F35</f>
        <v>431306660.30500007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297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307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8" t="s">
        <v>359</v>
      </c>
      <c r="E40" s="309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0" t="s">
        <v>360</v>
      </c>
      <c r="E41" s="311"/>
      <c r="F41" s="65">
        <v>6984300</v>
      </c>
      <c r="G41" s="65">
        <f>16000000-F41-2449432.75</f>
        <v>6566267.25</v>
      </c>
      <c r="H41" s="10"/>
    </row>
    <row r="42" spans="2:12" ht="19.8">
      <c r="B42" s="5"/>
      <c r="C42" s="66"/>
      <c r="D42" s="310"/>
      <c r="E42" s="311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2" t="s">
        <v>141</v>
      </c>
      <c r="E44" s="307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313" t="s">
        <v>361</v>
      </c>
      <c r="E45" s="314"/>
      <c r="F45" s="73">
        <v>6984300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8" t="s">
        <v>26</v>
      </c>
      <c r="D48" s="289"/>
      <c r="E48" s="289"/>
      <c r="F48" s="82">
        <f>F35+F45</f>
        <v>328808232.75</v>
      </c>
      <c r="G48" s="83">
        <f>G4-F48</f>
        <v>424322360.30500007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0" t="s">
        <v>50</v>
      </c>
      <c r="G52" s="291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B3:L60"/>
  <sheetViews>
    <sheetView view="pageBreakPreview" topLeftCell="A27" zoomScale="89" zoomScaleNormal="85" workbookViewId="0">
      <selection activeCell="J40" sqref="J4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362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336250836.75</v>
      </c>
      <c r="H5" s="10"/>
    </row>
    <row r="6" spans="2:8" ht="21">
      <c r="B6" s="5"/>
      <c r="C6" s="11" t="s">
        <v>7</v>
      </c>
      <c r="D6" s="12" t="s">
        <v>1</v>
      </c>
      <c r="E6" s="15" t="s">
        <v>363</v>
      </c>
      <c r="F6" s="11" t="s">
        <v>9</v>
      </c>
      <c r="G6" s="14">
        <f>G4-G5</f>
        <v>416879756.30500007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0.55352917561610182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364</v>
      </c>
      <c r="D32" s="322" t="s">
        <v>349</v>
      </c>
      <c r="E32" s="323"/>
      <c r="F32" s="36">
        <f>+LK.39!F43+LK.40!F45+LK.41!F45</f>
        <v>15271650</v>
      </c>
      <c r="G32" s="37"/>
      <c r="H32" s="10"/>
    </row>
    <row r="33" spans="2:12" ht="20.399999999999999">
      <c r="B33" s="5"/>
      <c r="C33" s="40"/>
      <c r="D33" s="320" t="s">
        <v>365</v>
      </c>
      <c r="E33" s="321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328808232.75</v>
      </c>
      <c r="G35" s="51">
        <f>G4-F35</f>
        <v>424322360.30500007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297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307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8" t="s">
        <v>359</v>
      </c>
      <c r="E40" s="309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0" t="s">
        <v>366</v>
      </c>
      <c r="E41" s="311"/>
      <c r="F41" s="65">
        <v>6566267.25</v>
      </c>
      <c r="G41" s="65">
        <v>0</v>
      </c>
      <c r="H41" s="10"/>
    </row>
    <row r="42" spans="2:12" ht="19.8">
      <c r="B42" s="5"/>
      <c r="C42" s="66"/>
      <c r="D42" s="310"/>
      <c r="E42" s="311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2" t="s">
        <v>141</v>
      </c>
      <c r="E44" s="307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313" t="s">
        <v>367</v>
      </c>
      <c r="E45" s="314"/>
      <c r="F45" s="73">
        <v>7442604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876336.75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8" t="s">
        <v>26</v>
      </c>
      <c r="D48" s="289"/>
      <c r="E48" s="289"/>
      <c r="F48" s="82">
        <f>F35+F45</f>
        <v>336250836.75</v>
      </c>
      <c r="G48" s="83">
        <f>G4-F48</f>
        <v>416879756.30500007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876336.75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0" t="s">
        <v>50</v>
      </c>
      <c r="G52" s="291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B3:L60"/>
  <sheetViews>
    <sheetView view="pageBreakPreview" topLeftCell="A25" zoomScale="89" zoomScaleNormal="85" workbookViewId="0">
      <selection activeCell="D42" sqref="D42:E4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368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344658836.75</v>
      </c>
      <c r="H5" s="10"/>
    </row>
    <row r="6" spans="2:8" ht="21">
      <c r="B6" s="5"/>
      <c r="C6" s="11" t="s">
        <v>7</v>
      </c>
      <c r="D6" s="12" t="s">
        <v>1</v>
      </c>
      <c r="E6" s="15" t="s">
        <v>369</v>
      </c>
      <c r="F6" s="11" t="s">
        <v>9</v>
      </c>
      <c r="G6" s="14">
        <f>G4-G5</f>
        <v>408471756.30500007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0.54236510914803582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0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37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336250836.75</v>
      </c>
      <c r="G35" s="51">
        <f>G4-F35</f>
        <v>416879756.30500007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297" t="s">
        <v>132</v>
      </c>
      <c r="E37" s="305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06" t="s">
        <v>133</v>
      </c>
      <c r="E39" s="307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08" t="s">
        <v>372</v>
      </c>
      <c r="E40" s="309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0" t="s">
        <v>373</v>
      </c>
      <c r="E41" s="311"/>
      <c r="F41" s="65">
        <v>8000000</v>
      </c>
      <c r="G41" s="65">
        <v>0</v>
      </c>
      <c r="H41" s="10"/>
    </row>
    <row r="42" spans="2:12" ht="19.8">
      <c r="B42" s="5"/>
      <c r="C42" s="66"/>
      <c r="D42" s="310"/>
      <c r="E42" s="311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2" t="s">
        <v>141</v>
      </c>
      <c r="E44" s="307"/>
      <c r="F44" s="62"/>
      <c r="G44" s="72"/>
      <c r="H44" s="10"/>
      <c r="L44" s="110">
        <v>14509106.75</v>
      </c>
    </row>
    <row r="45" spans="2:12" ht="21">
      <c r="B45" s="5"/>
      <c r="C45" s="67">
        <v>45138</v>
      </c>
      <c r="D45" s="313" t="s">
        <v>374</v>
      </c>
      <c r="E45" s="314"/>
      <c r="F45" s="73">
        <v>8408000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408000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88" t="s">
        <v>26</v>
      </c>
      <c r="D48" s="289"/>
      <c r="E48" s="289"/>
      <c r="F48" s="82">
        <f>F35+F45</f>
        <v>344658836.75</v>
      </c>
      <c r="G48" s="83">
        <f>G4-F48</f>
        <v>408471756.30500007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408000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0" t="s">
        <v>50</v>
      </c>
      <c r="G52" s="291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3:L62"/>
  <sheetViews>
    <sheetView view="pageBreakPreview" topLeftCell="A30" zoomScale="89" zoomScaleNormal="85" workbookViewId="0">
      <selection activeCell="D43" sqref="D43:E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375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346481836.75</v>
      </c>
      <c r="H5" s="10"/>
    </row>
    <row r="6" spans="2:8" ht="21">
      <c r="B6" s="5"/>
      <c r="C6" s="11" t="s">
        <v>7</v>
      </c>
      <c r="D6" s="12" t="s">
        <v>1</v>
      </c>
      <c r="E6" s="15" t="s">
        <v>376</v>
      </c>
      <c r="F6" s="11" t="s">
        <v>9</v>
      </c>
      <c r="G6" s="14">
        <f>G4-G5</f>
        <v>406648756.30500007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0.53994454621139398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377</v>
      </c>
      <c r="D34" s="322" t="s">
        <v>378</v>
      </c>
      <c r="E34" s="323"/>
      <c r="F34" s="36">
        <f>+LK.43!F45</f>
        <v>8408000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379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344658836.75</v>
      </c>
      <c r="G37" s="51">
        <f>G4-F37</f>
        <v>408471756.30500007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297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307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8" t="s">
        <v>380</v>
      </c>
      <c r="E42" s="309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/>
      <c r="D43" s="310"/>
      <c r="E43" s="311"/>
      <c r="F43" s="65"/>
      <c r="G43" s="65"/>
      <c r="H43" s="10"/>
    </row>
    <row r="44" spans="2:12" ht="19.8">
      <c r="B44" s="5"/>
      <c r="C44" s="66"/>
      <c r="D44" s="310"/>
      <c r="E44" s="311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2" t="s">
        <v>141</v>
      </c>
      <c r="E46" s="307"/>
      <c r="F46" s="62"/>
      <c r="G46" s="72"/>
      <c r="H46" s="10"/>
      <c r="L46" s="110">
        <v>14509106.75</v>
      </c>
    </row>
    <row r="47" spans="2:12" ht="21">
      <c r="B47" s="5"/>
      <c r="C47" s="67">
        <v>45147</v>
      </c>
      <c r="D47" s="313" t="s">
        <v>381</v>
      </c>
      <c r="E47" s="314"/>
      <c r="F47" s="73">
        <v>1823000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1823000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8" t="s">
        <v>26</v>
      </c>
      <c r="D50" s="289"/>
      <c r="E50" s="289"/>
      <c r="F50" s="82">
        <f>F37+F47</f>
        <v>346481836.75</v>
      </c>
      <c r="G50" s="83">
        <f>G4-F50</f>
        <v>406648756.30500007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1823000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0" t="s">
        <v>50</v>
      </c>
      <c r="G54" s="291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B3:L62"/>
  <sheetViews>
    <sheetView view="pageBreakPreview" topLeftCell="A33" zoomScale="89" zoomScaleNormal="85" workbookViewId="0">
      <selection activeCell="D48" sqref="D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382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350346836.75</v>
      </c>
      <c r="H5" s="10"/>
    </row>
    <row r="6" spans="2:8" ht="21">
      <c r="B6" s="5"/>
      <c r="C6" s="11" t="s">
        <v>7</v>
      </c>
      <c r="D6" s="12" t="s">
        <v>1</v>
      </c>
      <c r="E6" s="15" t="s">
        <v>383</v>
      </c>
      <c r="F6" s="11" t="s">
        <v>9</v>
      </c>
      <c r="G6" s="14">
        <f>G4-G5</f>
        <v>402783756.30500007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0.53481263411588076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384</v>
      </c>
      <c r="D34" s="322" t="s">
        <v>385</v>
      </c>
      <c r="E34" s="323"/>
      <c r="F34" s="36">
        <f>+LK.43!F45+LK.44!F47</f>
        <v>10231000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386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346481836.75</v>
      </c>
      <c r="G37" s="51">
        <f>G4-F37</f>
        <v>406648756.30500007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297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307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8" t="s">
        <v>387</v>
      </c>
      <c r="E42" s="309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388</v>
      </c>
      <c r="E43" s="327"/>
      <c r="F43" s="65">
        <v>3865000</v>
      </c>
      <c r="G43" s="65">
        <f>9000000-F43</f>
        <v>5135000</v>
      </c>
      <c r="H43" s="10"/>
    </row>
    <row r="44" spans="2:12" ht="19.8">
      <c r="B44" s="5"/>
      <c r="C44" s="66"/>
      <c r="D44" s="310"/>
      <c r="E44" s="311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2" t="s">
        <v>141</v>
      </c>
      <c r="E46" s="307"/>
      <c r="F46" s="62"/>
      <c r="G46" s="72"/>
      <c r="H46" s="10"/>
      <c r="L46" s="110">
        <v>14509106.75</v>
      </c>
    </row>
    <row r="47" spans="2:12" ht="21">
      <c r="B47" s="5"/>
      <c r="C47" s="67">
        <v>45173</v>
      </c>
      <c r="D47" s="313" t="s">
        <v>389</v>
      </c>
      <c r="E47" s="314"/>
      <c r="F47" s="73">
        <v>3865000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8" t="s">
        <v>26</v>
      </c>
      <c r="D50" s="289"/>
      <c r="E50" s="289"/>
      <c r="F50" s="82">
        <f>F37+F47</f>
        <v>350346836.75</v>
      </c>
      <c r="G50" s="83">
        <f>G4-F50</f>
        <v>402783756.30500007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0" t="s">
        <v>50</v>
      </c>
      <c r="G54" s="291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B3:L62"/>
  <sheetViews>
    <sheetView view="pageBreakPreview" topLeftCell="A34" zoomScale="89" zoomScaleNormal="85" workbookViewId="0">
      <selection activeCell="E45" sqref="E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390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355381036.75</v>
      </c>
      <c r="H5" s="10"/>
    </row>
    <row r="6" spans="2:8" ht="21">
      <c r="B6" s="5"/>
      <c r="C6" s="11" t="s">
        <v>7</v>
      </c>
      <c r="D6" s="12" t="s">
        <v>1</v>
      </c>
      <c r="E6" s="15" t="s">
        <v>391</v>
      </c>
      <c r="F6" s="11" t="s">
        <v>9</v>
      </c>
      <c r="G6" s="14">
        <f>G4-G5</f>
        <v>397749556.30500007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0.52812826881931352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392</v>
      </c>
      <c r="D34" s="322" t="s">
        <v>393</v>
      </c>
      <c r="E34" s="323"/>
      <c r="F34" s="36">
        <f>+LK.43!F45+LK.44!F47+LK.45!F47</f>
        <v>14096000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394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350346836.75</v>
      </c>
      <c r="G37" s="51">
        <f>G4-F37</f>
        <v>402783756.30500007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297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307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8" t="s">
        <v>387</v>
      </c>
      <c r="E42" s="309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395</v>
      </c>
      <c r="E43" s="327"/>
      <c r="F43" s="65">
        <v>5034200</v>
      </c>
      <c r="G43" s="65">
        <f>9000000-F43-3865000</f>
        <v>100800</v>
      </c>
      <c r="H43" s="10"/>
    </row>
    <row r="44" spans="2:12" ht="19.8">
      <c r="B44" s="5"/>
      <c r="C44" s="66"/>
      <c r="D44" s="310"/>
      <c r="E44" s="311"/>
      <c r="F44" s="65"/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2" t="s">
        <v>141</v>
      </c>
      <c r="E46" s="307"/>
      <c r="F46" s="62"/>
      <c r="G46" s="72"/>
      <c r="H46" s="10"/>
      <c r="L46" s="110">
        <v>14509106.75</v>
      </c>
    </row>
    <row r="47" spans="2:12" ht="21">
      <c r="B47" s="5"/>
      <c r="C47" s="67">
        <v>45174</v>
      </c>
      <c r="D47" s="313" t="s">
        <v>396</v>
      </c>
      <c r="E47" s="314"/>
      <c r="F47" s="73">
        <v>5034200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8" t="s">
        <v>26</v>
      </c>
      <c r="D50" s="289"/>
      <c r="E50" s="289"/>
      <c r="F50" s="82">
        <f>F37+F47</f>
        <v>355381036.75</v>
      </c>
      <c r="G50" s="83">
        <f>G4-F50</f>
        <v>397749556.30500007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0" t="s">
        <v>50</v>
      </c>
      <c r="G54" s="291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3:L62"/>
  <sheetViews>
    <sheetView view="pageBreakPreview" topLeftCell="A30" zoomScale="89" zoomScaleNormal="85" workbookViewId="0">
      <selection activeCell="G44" sqref="G4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397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362046813.75</v>
      </c>
      <c r="H5" s="10"/>
    </row>
    <row r="6" spans="2:8" ht="21">
      <c r="B6" s="5"/>
      <c r="C6" s="11" t="s">
        <v>7</v>
      </c>
      <c r="D6" s="12" t="s">
        <v>1</v>
      </c>
      <c r="E6" s="15" t="s">
        <v>398</v>
      </c>
      <c r="F6" s="11" t="s">
        <v>9</v>
      </c>
      <c r="G6" s="14">
        <f>G4-G5</f>
        <v>391083779.30500007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0.51927751031677949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24" t="s">
        <v>400</v>
      </c>
      <c r="E35" s="321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355381036.75</v>
      </c>
      <c r="G37" s="51">
        <f>G4-F37</f>
        <v>397749556.30500007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297" t="s">
        <v>132</v>
      </c>
      <c r="E39" s="305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06" t="s">
        <v>133</v>
      </c>
      <c r="E41" s="307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08" t="s">
        <v>387</v>
      </c>
      <c r="E42" s="309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26" t="s">
        <v>401</v>
      </c>
      <c r="E43" s="327"/>
      <c r="F43" s="65">
        <v>100800</v>
      </c>
      <c r="G43" s="65">
        <v>0</v>
      </c>
      <c r="H43" s="10"/>
    </row>
    <row r="44" spans="2:12" ht="19.8">
      <c r="B44" s="5"/>
      <c r="C44" s="66"/>
      <c r="D44" s="326" t="s">
        <v>402</v>
      </c>
      <c r="E44" s="311"/>
      <c r="F44" s="65">
        <v>3949775</v>
      </c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2" t="s">
        <v>141</v>
      </c>
      <c r="E46" s="307"/>
      <c r="F46" s="62"/>
      <c r="G46" s="72"/>
      <c r="H46" s="10"/>
      <c r="L46" s="110">
        <v>14509106.75</v>
      </c>
    </row>
    <row r="47" spans="2:12" ht="21">
      <c r="B47" s="5"/>
      <c r="C47" s="67">
        <v>45216</v>
      </c>
      <c r="D47" s="313" t="s">
        <v>403</v>
      </c>
      <c r="E47" s="314"/>
      <c r="F47" s="73">
        <v>6665777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2615202</v>
      </c>
      <c r="G48" s="79"/>
      <c r="H48" s="10"/>
      <c r="L48" s="109">
        <f>F44+G44+3866346.75</f>
        <v>7816121.75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88" t="s">
        <v>26</v>
      </c>
      <c r="D50" s="289"/>
      <c r="E50" s="289"/>
      <c r="F50" s="82">
        <f>F37+F47</f>
        <v>362046813.75</v>
      </c>
      <c r="G50" s="83">
        <f>G4-F50</f>
        <v>391083779.30500007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2615202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0" t="s">
        <v>50</v>
      </c>
      <c r="G54" s="291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B3:L64"/>
  <sheetViews>
    <sheetView view="pageBreakPreview" topLeftCell="A37" zoomScale="89" zoomScaleNormal="85" workbookViewId="0">
      <selection activeCell="G43" sqref="G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404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365097038.75</v>
      </c>
      <c r="H5" s="10"/>
    </row>
    <row r="6" spans="2:8" ht="21">
      <c r="B6" s="5"/>
      <c r="C6" s="11" t="s">
        <v>7</v>
      </c>
      <c r="D6" s="12" t="s">
        <v>1</v>
      </c>
      <c r="E6" s="15" t="s">
        <v>405</v>
      </c>
      <c r="F6" s="11" t="s">
        <v>9</v>
      </c>
      <c r="G6" s="14">
        <f>G4-G5</f>
        <v>388033554.30500007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0.51522744910810248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406</v>
      </c>
      <c r="D36" s="322" t="s">
        <v>407</v>
      </c>
      <c r="E36" s="323"/>
      <c r="F36" s="36">
        <f>+LK.47!F47</f>
        <v>6665777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408</v>
      </c>
      <c r="E37" s="321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362046813.75</v>
      </c>
      <c r="G39" s="51">
        <f>G4-F39</f>
        <v>391083779.30500007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297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307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08" t="s">
        <v>409</v>
      </c>
      <c r="E44" s="309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>
        <v>45224</v>
      </c>
      <c r="D45" s="326" t="s">
        <v>410</v>
      </c>
      <c r="E45" s="327"/>
      <c r="F45" s="65">
        <v>3050225</v>
      </c>
      <c r="G45" s="65">
        <f>7000000-F45</f>
        <v>3949775</v>
      </c>
      <c r="H45" s="10"/>
    </row>
    <row r="46" spans="2:12" ht="19.8">
      <c r="B46" s="5"/>
      <c r="C46" s="66"/>
      <c r="D46" s="310"/>
      <c r="E46" s="311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2" t="s">
        <v>141</v>
      </c>
      <c r="E48" s="307"/>
      <c r="F48" s="62"/>
      <c r="G48" s="72"/>
      <c r="H48" s="10"/>
      <c r="L48" s="110">
        <v>14509106.75</v>
      </c>
    </row>
    <row r="49" spans="2:12" ht="21">
      <c r="B49" s="5"/>
      <c r="C49" s="67">
        <v>45224</v>
      </c>
      <c r="D49" s="313" t="s">
        <v>411</v>
      </c>
      <c r="E49" s="314"/>
      <c r="F49" s="73">
        <v>3050225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88" t="s">
        <v>26</v>
      </c>
      <c r="D52" s="289"/>
      <c r="E52" s="289"/>
      <c r="F52" s="82">
        <f>F39+F49</f>
        <v>365097038.75</v>
      </c>
      <c r="G52" s="83">
        <f>G4-F52</f>
        <v>388033554.30500007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0" t="s">
        <v>50</v>
      </c>
      <c r="G56" s="291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49:E49"/>
    <mergeCell ref="C52:E52"/>
    <mergeCell ref="F56:G56"/>
    <mergeCell ref="D43:E43"/>
    <mergeCell ref="D44:E44"/>
    <mergeCell ref="D45:E45"/>
    <mergeCell ref="D46:E46"/>
    <mergeCell ref="D48:E48"/>
    <mergeCell ref="D34:E34"/>
    <mergeCell ref="D35:E35"/>
    <mergeCell ref="D36:E36"/>
    <mergeCell ref="D37:E37"/>
    <mergeCell ref="D41:E41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B3:L64"/>
  <sheetViews>
    <sheetView view="pageBreakPreview" topLeftCell="A34" zoomScale="89" zoomScaleNormal="85" workbookViewId="0">
      <selection activeCell="F48" sqref="F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412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368984838.75</v>
      </c>
      <c r="H5" s="10"/>
    </row>
    <row r="6" spans="2:8" ht="21">
      <c r="B6" s="5"/>
      <c r="C6" s="11" t="s">
        <v>7</v>
      </c>
      <c r="D6" s="12" t="s">
        <v>1</v>
      </c>
      <c r="E6" s="15" t="s">
        <v>413</v>
      </c>
      <c r="F6" s="11" t="s">
        <v>9</v>
      </c>
      <c r="G6" s="14">
        <f>G4-G5</f>
        <v>384145754.30500007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0.51006526337849412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414</v>
      </c>
      <c r="D36" s="322" t="s">
        <v>407</v>
      </c>
      <c r="E36" s="323"/>
      <c r="F36" s="36">
        <f>+LK.47!F47+LK.48!F49</f>
        <v>9716002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415</v>
      </c>
      <c r="E37" s="321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365097038.75</v>
      </c>
      <c r="G39" s="51">
        <f>G4-F39</f>
        <v>388033554.30500007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297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307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9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310"/>
      <c r="E46" s="311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2" t="s">
        <v>141</v>
      </c>
      <c r="E48" s="307"/>
      <c r="F48" s="62"/>
      <c r="G48" s="72"/>
      <c r="H48" s="10"/>
      <c r="L48" s="110">
        <v>14509106.75</v>
      </c>
    </row>
    <row r="49" spans="2:12" ht="21">
      <c r="B49" s="5"/>
      <c r="C49" s="67">
        <v>45265</v>
      </c>
      <c r="D49" s="313" t="s">
        <v>417</v>
      </c>
      <c r="E49" s="314"/>
      <c r="F49" s="73">
        <v>3887800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3887800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88" t="s">
        <v>26</v>
      </c>
      <c r="D52" s="289"/>
      <c r="E52" s="289"/>
      <c r="F52" s="82">
        <f>F39+F49</f>
        <v>368984838.75</v>
      </c>
      <c r="G52" s="83">
        <f>G4-F52</f>
        <v>384145754.30500007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3887800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0" t="s">
        <v>50</v>
      </c>
      <c r="G56" s="291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49:E49"/>
    <mergeCell ref="C52:E52"/>
    <mergeCell ref="F56:G56"/>
    <mergeCell ref="D43:E43"/>
    <mergeCell ref="D44:E44"/>
    <mergeCell ref="D45:E45"/>
    <mergeCell ref="D46:E46"/>
    <mergeCell ref="D48:E48"/>
    <mergeCell ref="D34:E34"/>
    <mergeCell ref="D35:E35"/>
    <mergeCell ref="D36:E36"/>
    <mergeCell ref="D37:E37"/>
    <mergeCell ref="D41:E41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45"/>
  <sheetViews>
    <sheetView zoomScale="70" zoomScaleNormal="70" workbookViewId="0">
      <selection activeCell="E25" sqref="E25:G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56</v>
      </c>
      <c r="F4" s="261" t="s">
        <v>3</v>
      </c>
      <c r="G4" s="262"/>
      <c r="H4" s="9">
        <f>+E43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G33</f>
        <v>22845564</v>
      </c>
      <c r="I5" s="10"/>
    </row>
    <row r="6" spans="2:9" ht="21">
      <c r="B6" s="5"/>
      <c r="C6" s="11" t="s">
        <v>7</v>
      </c>
      <c r="D6" s="12" t="s">
        <v>1</v>
      </c>
      <c r="E6" s="15" t="s">
        <v>57</v>
      </c>
      <c r="F6" s="263" t="s">
        <v>9</v>
      </c>
      <c r="G6" s="264"/>
      <c r="H6" s="14">
        <f>H4-H5</f>
        <v>730285029.05500007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0.96966586643714836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/>
      <c r="F19" s="98"/>
      <c r="H19" s="190"/>
      <c r="I19" s="10"/>
    </row>
    <row r="20" spans="2:9" ht="18.600000000000001">
      <c r="B20" s="5"/>
      <c r="C20" s="217"/>
      <c r="D20" s="98"/>
      <c r="E20" s="222" t="s">
        <v>18</v>
      </c>
      <c r="F20" s="223"/>
      <c r="G20" s="224">
        <f>SUM(G15:G18)</f>
        <v>16847894</v>
      </c>
      <c r="H20" s="225">
        <f>H10-G20</f>
        <v>736282699.05500007</v>
      </c>
      <c r="I20" s="10"/>
    </row>
    <row r="21" spans="2:9" ht="18.600000000000001">
      <c r="B21" s="5"/>
      <c r="C21" s="189"/>
      <c r="D21" s="98"/>
      <c r="E21" s="98"/>
      <c r="F21" s="98"/>
      <c r="G21" s="98"/>
      <c r="H21" s="190"/>
      <c r="I21" s="10"/>
    </row>
    <row r="22" spans="2:9" ht="19.8">
      <c r="B22" s="5"/>
      <c r="C22" s="269" t="s">
        <v>19</v>
      </c>
      <c r="D22" s="272"/>
      <c r="E22" s="272"/>
      <c r="F22" s="98"/>
      <c r="G22" s="98"/>
      <c r="H22" s="190"/>
      <c r="I22" s="10"/>
    </row>
    <row r="23" spans="2:9" ht="19.8">
      <c r="B23" s="5"/>
      <c r="C23" s="215" t="s">
        <v>20</v>
      </c>
      <c r="D23" s="226" t="s">
        <v>21</v>
      </c>
      <c r="E23" s="226" t="s">
        <v>22</v>
      </c>
      <c r="F23" s="98"/>
      <c r="G23" s="98"/>
      <c r="H23" s="190"/>
      <c r="I23" s="10"/>
    </row>
    <row r="24" spans="2:9" ht="19.8">
      <c r="B24" s="5"/>
      <c r="C24" s="227">
        <v>44712</v>
      </c>
      <c r="D24" s="216" t="s">
        <v>23</v>
      </c>
      <c r="E24" s="223" t="s">
        <v>56</v>
      </c>
      <c r="F24" s="223"/>
      <c r="G24" s="228">
        <v>5997670</v>
      </c>
      <c r="H24" s="190"/>
      <c r="I24" s="10"/>
    </row>
    <row r="25" spans="2:9" ht="20.399999999999999">
      <c r="B25" s="5"/>
      <c r="C25" s="227">
        <v>44673</v>
      </c>
      <c r="D25" s="216"/>
      <c r="E25" s="229" t="s">
        <v>45</v>
      </c>
      <c r="F25" s="230"/>
      <c r="G25" s="231">
        <v>0</v>
      </c>
      <c r="H25" s="190"/>
      <c r="I25" s="10"/>
    </row>
    <row r="26" spans="2:9" ht="19.8">
      <c r="B26" s="5"/>
      <c r="C26" s="227"/>
      <c r="D26" s="216"/>
      <c r="E26" s="229" t="s">
        <v>54</v>
      </c>
      <c r="F26" s="232"/>
      <c r="G26" s="231">
        <v>0</v>
      </c>
      <c r="H26" s="190"/>
      <c r="I26" s="10"/>
    </row>
    <row r="27" spans="2:9" ht="19.8">
      <c r="B27" s="5"/>
      <c r="C27" s="227"/>
      <c r="D27" s="216"/>
      <c r="E27" s="246" t="s">
        <v>59</v>
      </c>
      <c r="F27" s="232"/>
      <c r="G27" s="233">
        <v>5997670</v>
      </c>
      <c r="H27" s="190"/>
      <c r="I27" s="10"/>
    </row>
    <row r="28" spans="2:9" ht="19.8">
      <c r="B28" s="5"/>
      <c r="C28" s="227"/>
      <c r="D28" s="216"/>
      <c r="E28" s="234" t="s">
        <v>48</v>
      </c>
      <c r="F28" s="232"/>
      <c r="G28" s="233"/>
      <c r="H28" s="190"/>
      <c r="I28" s="10"/>
    </row>
    <row r="29" spans="2:9" ht="19.8">
      <c r="B29" s="5"/>
      <c r="C29" s="227"/>
      <c r="D29" s="216"/>
      <c r="E29" s="234" t="s">
        <v>49</v>
      </c>
      <c r="F29" s="232"/>
      <c r="G29" s="233"/>
      <c r="H29" s="190"/>
      <c r="I29" s="10"/>
    </row>
    <row r="30" spans="2:9" ht="18.600000000000001">
      <c r="B30" s="5"/>
      <c r="C30" s="189"/>
      <c r="D30" s="98"/>
      <c r="E30" s="98"/>
      <c r="F30" s="98"/>
      <c r="G30" s="235">
        <v>0</v>
      </c>
      <c r="H30" s="190"/>
      <c r="I30" s="10"/>
    </row>
    <row r="31" spans="2:9" ht="19.8">
      <c r="B31" s="5"/>
      <c r="C31" s="189"/>
      <c r="D31" s="98"/>
      <c r="E31" s="236" t="s">
        <v>25</v>
      </c>
      <c r="G31" s="245">
        <f>G24-SUM(G25:G30)</f>
        <v>0</v>
      </c>
      <c r="H31" s="190"/>
      <c r="I31" s="10"/>
    </row>
    <row r="32" spans="2:9" ht="18.600000000000001">
      <c r="B32" s="5"/>
      <c r="C32" s="80"/>
      <c r="D32" s="48"/>
      <c r="E32" s="48"/>
      <c r="F32" s="48"/>
      <c r="G32" s="48"/>
      <c r="H32" s="81"/>
      <c r="I32" s="10"/>
    </row>
    <row r="33" spans="2:9" ht="19.8">
      <c r="B33" s="5"/>
      <c r="C33" s="277" t="s">
        <v>26</v>
      </c>
      <c r="D33" s="278"/>
      <c r="E33" s="278"/>
      <c r="F33" s="53"/>
      <c r="G33" s="202">
        <f>G20+G24</f>
        <v>22845564</v>
      </c>
      <c r="H33" s="203">
        <f>H10-G33</f>
        <v>730285029.05500007</v>
      </c>
      <c r="I33" s="10"/>
    </row>
    <row r="34" spans="2:9" ht="19.8">
      <c r="B34" s="5"/>
      <c r="C34" s="204" t="s">
        <v>27</v>
      </c>
      <c r="D34" s="205"/>
      <c r="E34" s="206"/>
      <c r="F34" s="98"/>
      <c r="G34" s="98"/>
      <c r="H34" s="190"/>
      <c r="I34" s="10"/>
    </row>
    <row r="35" spans="2:9" ht="19.8">
      <c r="B35" s="5"/>
      <c r="C35" s="207" t="s">
        <v>28</v>
      </c>
      <c r="D35" s="208" t="s">
        <v>1</v>
      </c>
      <c r="E35" s="238">
        <f>G31</f>
        <v>0</v>
      </c>
      <c r="F35" s="98"/>
      <c r="G35" s="98"/>
      <c r="H35" s="190"/>
      <c r="I35" s="10"/>
    </row>
    <row r="36" spans="2:9" ht="19.8">
      <c r="B36" s="5"/>
      <c r="C36" s="207" t="s">
        <v>29</v>
      </c>
      <c r="D36" s="208" t="s">
        <v>1</v>
      </c>
      <c r="E36" s="209" t="s">
        <v>30</v>
      </c>
      <c r="F36" s="98"/>
      <c r="G36" s="98"/>
      <c r="H36" s="190"/>
      <c r="I36" s="10"/>
    </row>
    <row r="37" spans="2:9" ht="19.8">
      <c r="B37" s="5"/>
      <c r="C37" s="210" t="s">
        <v>31</v>
      </c>
      <c r="D37" s="211" t="s">
        <v>1</v>
      </c>
      <c r="E37" s="212" t="s">
        <v>32</v>
      </c>
      <c r="F37" s="96"/>
      <c r="G37" s="275" t="s">
        <v>50</v>
      </c>
      <c r="H37" s="276"/>
      <c r="I37" s="10"/>
    </row>
    <row r="38" spans="2:9" ht="6" customHeight="1">
      <c r="B38" s="95"/>
      <c r="C38" s="96"/>
      <c r="D38" s="96"/>
      <c r="E38" s="96"/>
      <c r="F38" s="96"/>
      <c r="G38" s="96"/>
      <c r="H38" s="96"/>
      <c r="I38" s="97"/>
    </row>
    <row r="39" spans="2:9" ht="18.600000000000001">
      <c r="C39" s="98"/>
      <c r="D39" s="98"/>
      <c r="E39" s="98"/>
      <c r="F39" s="98"/>
      <c r="G39" s="98"/>
      <c r="H39" s="98"/>
    </row>
    <row r="40" spans="2:9" ht="19.8">
      <c r="C40" s="99" t="s">
        <v>34</v>
      </c>
      <c r="D40" s="100"/>
      <c r="E40" s="101"/>
      <c r="F40" s="102"/>
      <c r="G40" s="102"/>
      <c r="H40" s="98"/>
    </row>
    <row r="41" spans="2:9" ht="19.8">
      <c r="C41" s="99"/>
      <c r="D41" s="100"/>
      <c r="E41" s="101"/>
      <c r="F41" s="103" t="s">
        <v>35</v>
      </c>
      <c r="G41" s="104">
        <v>15000000</v>
      </c>
      <c r="H41" s="98"/>
    </row>
    <row r="42" spans="2:9" ht="19.8">
      <c r="C42" s="99" t="s">
        <v>36</v>
      </c>
      <c r="D42" s="100"/>
      <c r="E42" s="101">
        <v>75313059305.5</v>
      </c>
      <c r="F42" s="105" t="s">
        <v>37</v>
      </c>
      <c r="G42" s="106"/>
      <c r="H42" s="98"/>
    </row>
    <row r="43" spans="2:9" ht="19.8">
      <c r="C43" s="107">
        <v>0.01</v>
      </c>
      <c r="D43" s="100"/>
      <c r="E43" s="101">
        <f>E42*C43</f>
        <v>753130593.05500007</v>
      </c>
      <c r="F43" s="105" t="s">
        <v>38</v>
      </c>
      <c r="G43" s="108"/>
      <c r="H43" s="98"/>
    </row>
    <row r="44" spans="2:9" ht="18.600000000000001">
      <c r="C44" s="98"/>
      <c r="D44" s="98"/>
      <c r="E44" s="98"/>
      <c r="F44" s="98"/>
      <c r="G44" s="98"/>
      <c r="H44" s="98"/>
    </row>
    <row r="45" spans="2:9" ht="18.600000000000001">
      <c r="C45" s="98"/>
      <c r="D45" s="98"/>
      <c r="E45" s="98"/>
      <c r="F45" s="98"/>
      <c r="G45" s="98"/>
      <c r="H45" s="98"/>
    </row>
  </sheetData>
  <mergeCells count="12">
    <mergeCell ref="C33:E33"/>
    <mergeCell ref="G37:H37"/>
    <mergeCell ref="C11:E11"/>
    <mergeCell ref="D12:E12"/>
    <mergeCell ref="D13:E13"/>
    <mergeCell ref="C14:E14"/>
    <mergeCell ref="C22:E22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A560-1FE4-43E1-AD20-BF41787F1CFF}">
  <sheetPr>
    <pageSetUpPr fitToPage="1"/>
  </sheetPr>
  <dimension ref="B3:L64"/>
  <sheetViews>
    <sheetView tabSelected="1" view="pageBreakPreview" topLeftCell="A40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5546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420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378056838.75</v>
      </c>
      <c r="H5" s="10"/>
    </row>
    <row r="6" spans="2:8" ht="21">
      <c r="B6" s="5"/>
      <c r="C6" s="11" t="s">
        <v>7</v>
      </c>
      <c r="D6" s="12" t="s">
        <v>1</v>
      </c>
      <c r="E6" s="15" t="s">
        <v>421</v>
      </c>
      <c r="F6" s="11" t="s">
        <v>9</v>
      </c>
      <c r="G6" s="14">
        <f>G4-G5</f>
        <v>375073754.30500007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0.49801954370695567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418</v>
      </c>
      <c r="D36" s="322" t="s">
        <v>407</v>
      </c>
      <c r="E36" s="323"/>
      <c r="F36" s="36">
        <f>+LK.47!F47+LK.48!F49+LK.49!F49</f>
        <v>13603802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419</v>
      </c>
      <c r="E37" s="321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368984838.75</v>
      </c>
      <c r="G39" s="51">
        <f>G4-F39</f>
        <v>384145754.30500007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297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307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9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310"/>
      <c r="E46" s="311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2" t="s">
        <v>141</v>
      </c>
      <c r="E48" s="307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313" t="s">
        <v>422</v>
      </c>
      <c r="E49" s="314"/>
      <c r="F49" s="73">
        <v>9072000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9072000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88" t="s">
        <v>26</v>
      </c>
      <c r="D52" s="289"/>
      <c r="E52" s="289"/>
      <c r="F52" s="82">
        <f>F39+F49</f>
        <v>378056838.75</v>
      </c>
      <c r="G52" s="83">
        <f>G4-F52</f>
        <v>375073754.30500007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9072000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0" t="s">
        <v>50</v>
      </c>
      <c r="G56" s="291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52:E52"/>
    <mergeCell ref="F56:G56"/>
    <mergeCell ref="D43:E43"/>
    <mergeCell ref="D44:E44"/>
    <mergeCell ref="D45:E45"/>
    <mergeCell ref="D46:E46"/>
    <mergeCell ref="D48:E48"/>
    <mergeCell ref="D49:E49"/>
    <mergeCell ref="D33:E33"/>
    <mergeCell ref="D34:E34"/>
    <mergeCell ref="D35:E35"/>
    <mergeCell ref="D36:E36"/>
    <mergeCell ref="D37:E37"/>
    <mergeCell ref="D41:E41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15:E15"/>
    <mergeCell ref="D16:E16"/>
    <mergeCell ref="D17:E17"/>
    <mergeCell ref="D18:E18"/>
    <mergeCell ref="D19:E19"/>
    <mergeCell ref="D20:E20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DB13-9A9D-46D7-A2C5-FAA797262E4F}">
  <sheetPr>
    <pageSetUpPr fitToPage="1"/>
  </sheetPr>
  <dimension ref="B3:L64"/>
  <sheetViews>
    <sheetView view="pageBreakPreview" topLeftCell="A44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426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379615838.75</v>
      </c>
      <c r="H5" s="10"/>
    </row>
    <row r="6" spans="2:8" ht="21">
      <c r="B6" s="5"/>
      <c r="C6" s="11" t="s">
        <v>7</v>
      </c>
      <c r="D6" s="12" t="s">
        <v>1</v>
      </c>
      <c r="E6" s="15" t="s">
        <v>425</v>
      </c>
      <c r="F6" s="11" t="s">
        <v>9</v>
      </c>
      <c r="G6" s="14">
        <f>G4-G5</f>
        <v>373514754.30500007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0.4959495175861523</v>
      </c>
      <c r="H7" s="10"/>
    </row>
    <row r="8" spans="2:8" ht="6" customHeight="1">
      <c r="B8" s="5"/>
      <c r="H8" s="10"/>
    </row>
    <row r="9" spans="2:8" ht="20.399999999999999">
      <c r="B9" s="5"/>
      <c r="C9" s="295" t="s">
        <v>11</v>
      </c>
      <c r="D9" s="296"/>
      <c r="E9" s="296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86"/>
      <c r="E10" s="286"/>
      <c r="F10" s="24"/>
      <c r="G10" s="25"/>
      <c r="H10" s="10"/>
    </row>
    <row r="11" spans="2:8" ht="19.8" customHeight="1">
      <c r="B11" s="5"/>
      <c r="C11" s="26" t="s">
        <v>117</v>
      </c>
      <c r="D11" s="297" t="s">
        <v>17</v>
      </c>
      <c r="E11" s="298"/>
      <c r="F11" s="28"/>
      <c r="G11" s="25"/>
      <c r="H11" s="10"/>
    </row>
    <row r="12" spans="2:8" ht="20.399999999999999">
      <c r="B12" s="5"/>
      <c r="C12" s="29" t="s">
        <v>118</v>
      </c>
      <c r="D12" s="299" t="s">
        <v>119</v>
      </c>
      <c r="E12" s="299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25" t="s">
        <v>120</v>
      </c>
      <c r="E13" s="300"/>
      <c r="F13" s="33"/>
      <c r="G13" s="34"/>
      <c r="H13" s="10"/>
    </row>
    <row r="14" spans="2:8" ht="20.399999999999999">
      <c r="B14" s="5"/>
      <c r="C14" s="29" t="s">
        <v>121</v>
      </c>
      <c r="D14" s="301" t="s">
        <v>122</v>
      </c>
      <c r="E14" s="301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2" t="s">
        <v>123</v>
      </c>
      <c r="E15" s="302"/>
      <c r="F15" s="35"/>
      <c r="G15" s="34"/>
      <c r="H15" s="10"/>
    </row>
    <row r="16" spans="2:8" ht="20.399999999999999">
      <c r="B16" s="5"/>
      <c r="C16" s="29" t="s">
        <v>124</v>
      </c>
      <c r="D16" s="301" t="s">
        <v>125</v>
      </c>
      <c r="E16" s="301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2" t="s">
        <v>126</v>
      </c>
      <c r="E17" s="302"/>
      <c r="F17" s="33"/>
      <c r="G17" s="34"/>
      <c r="H17" s="10"/>
    </row>
    <row r="18" spans="2:8" ht="20.399999999999999">
      <c r="B18" s="5"/>
      <c r="C18" s="29" t="s">
        <v>127</v>
      </c>
      <c r="D18" s="301" t="s">
        <v>128</v>
      </c>
      <c r="E18" s="301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2" t="s">
        <v>129</v>
      </c>
      <c r="E19" s="302"/>
      <c r="F19" s="35"/>
      <c r="G19" s="34"/>
      <c r="H19" s="10"/>
    </row>
    <row r="20" spans="2:8" ht="20.399999999999999">
      <c r="B20" s="5"/>
      <c r="C20" s="29" t="s">
        <v>174</v>
      </c>
      <c r="D20" s="318" t="s">
        <v>163</v>
      </c>
      <c r="E20" s="319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0" t="s">
        <v>175</v>
      </c>
      <c r="E21" s="321"/>
      <c r="F21" s="38"/>
      <c r="G21" s="39"/>
      <c r="H21" s="10"/>
    </row>
    <row r="22" spans="2:8" ht="20.399999999999999">
      <c r="B22" s="5"/>
      <c r="C22" s="29" t="s">
        <v>201</v>
      </c>
      <c r="D22" s="322" t="s">
        <v>202</v>
      </c>
      <c r="E22" s="323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0" t="s">
        <v>203</v>
      </c>
      <c r="E23" s="321"/>
      <c r="F23" s="41"/>
      <c r="G23" s="39"/>
      <c r="H23" s="10"/>
    </row>
    <row r="24" spans="2:8" ht="20.399999999999999">
      <c r="B24" s="5"/>
      <c r="C24" s="29" t="s">
        <v>236</v>
      </c>
      <c r="D24" s="322" t="s">
        <v>237</v>
      </c>
      <c r="E24" s="323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0" t="s">
        <v>238</v>
      </c>
      <c r="E25" s="321"/>
      <c r="F25" s="41"/>
      <c r="G25" s="39"/>
      <c r="H25" s="10"/>
    </row>
    <row r="26" spans="2:8" ht="20.399999999999999">
      <c r="B26" s="5"/>
      <c r="C26" s="29" t="s">
        <v>270</v>
      </c>
      <c r="D26" s="322" t="s">
        <v>271</v>
      </c>
      <c r="E26" s="323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0" t="s">
        <v>272</v>
      </c>
      <c r="E27" s="321"/>
      <c r="F27" s="41"/>
      <c r="G27" s="42"/>
      <c r="H27" s="10"/>
    </row>
    <row r="28" spans="2:8" ht="20.399999999999999">
      <c r="B28" s="5"/>
      <c r="C28" s="29" t="s">
        <v>307</v>
      </c>
      <c r="D28" s="322" t="s">
        <v>308</v>
      </c>
      <c r="E28" s="323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0" t="s">
        <v>309</v>
      </c>
      <c r="E29" s="321"/>
      <c r="F29" s="41"/>
      <c r="G29" s="42"/>
      <c r="H29" s="10"/>
    </row>
    <row r="30" spans="2:8" ht="20.399999999999999">
      <c r="B30" s="5"/>
      <c r="C30" s="29" t="s">
        <v>340</v>
      </c>
      <c r="D30" s="322" t="s">
        <v>341</v>
      </c>
      <c r="E30" s="323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0" t="s">
        <v>342</v>
      </c>
      <c r="E31" s="321"/>
      <c r="F31" s="41"/>
      <c r="G31" s="42"/>
      <c r="H31" s="10"/>
    </row>
    <row r="32" spans="2:8" ht="20.399999999999999">
      <c r="B32" s="5"/>
      <c r="C32" s="29" t="s">
        <v>370</v>
      </c>
      <c r="D32" s="322" t="s">
        <v>349</v>
      </c>
      <c r="E32" s="323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24" t="s">
        <v>371</v>
      </c>
      <c r="E33" s="321"/>
      <c r="F33" s="41"/>
      <c r="G33" s="42"/>
      <c r="H33" s="10"/>
    </row>
    <row r="34" spans="2:12" ht="20.399999999999999">
      <c r="B34" s="5"/>
      <c r="C34" s="29" t="s">
        <v>399</v>
      </c>
      <c r="D34" s="322" t="s">
        <v>393</v>
      </c>
      <c r="E34" s="323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24" t="s">
        <v>400</v>
      </c>
      <c r="E35" s="321"/>
      <c r="F35" s="41"/>
      <c r="G35" s="42"/>
      <c r="H35" s="10"/>
    </row>
    <row r="36" spans="2:12" ht="20.399999999999999">
      <c r="B36" s="5"/>
      <c r="C36" s="29" t="s">
        <v>423</v>
      </c>
      <c r="D36" s="322" t="s">
        <v>407</v>
      </c>
      <c r="E36" s="323"/>
      <c r="F36" s="36">
        <f>+LK.47!F47+LK.48!F49+LK.49!F49+LK.50!F49</f>
        <v>22675802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24" t="s">
        <v>424</v>
      </c>
      <c r="E37" s="321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378056838.75</v>
      </c>
      <c r="G39" s="51">
        <f>G4-F39</f>
        <v>375073754.30500007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297" t="s">
        <v>132</v>
      </c>
      <c r="E41" s="305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06" t="s">
        <v>133</v>
      </c>
      <c r="E43" s="307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28" t="s">
        <v>416</v>
      </c>
      <c r="E44" s="309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26"/>
      <c r="E45" s="327"/>
      <c r="F45" s="65"/>
      <c r="G45" s="65"/>
      <c r="H45" s="10"/>
    </row>
    <row r="46" spans="2:12" ht="19.8">
      <c r="B46" s="5"/>
      <c r="C46" s="66"/>
      <c r="D46" s="310"/>
      <c r="E46" s="311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2" t="s">
        <v>141</v>
      </c>
      <c r="E48" s="307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313" t="s">
        <v>427</v>
      </c>
      <c r="E49" s="314"/>
      <c r="F49" s="73">
        <v>1559000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1559000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88" t="s">
        <v>26</v>
      </c>
      <c r="D52" s="289"/>
      <c r="E52" s="289"/>
      <c r="F52" s="82">
        <f>F39+F49</f>
        <v>379615838.75</v>
      </c>
      <c r="G52" s="83">
        <f>G4-F52</f>
        <v>373514754.30500007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1559000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0" t="s">
        <v>50</v>
      </c>
      <c r="G56" s="291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52:E52"/>
    <mergeCell ref="F56:G56"/>
    <mergeCell ref="D43:E43"/>
    <mergeCell ref="D44:E44"/>
    <mergeCell ref="D45:E45"/>
    <mergeCell ref="D46:E46"/>
    <mergeCell ref="D48:E48"/>
    <mergeCell ref="D49:E49"/>
    <mergeCell ref="D33:E33"/>
    <mergeCell ref="D34:E34"/>
    <mergeCell ref="D35:E35"/>
    <mergeCell ref="D36:E36"/>
    <mergeCell ref="D37:E37"/>
    <mergeCell ref="D41:E41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15:E15"/>
    <mergeCell ref="D16:E16"/>
    <mergeCell ref="D17:E17"/>
    <mergeCell ref="D18:E18"/>
    <mergeCell ref="D19:E19"/>
    <mergeCell ref="D20:E20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46"/>
  <sheetViews>
    <sheetView zoomScale="70" zoomScaleNormal="70" workbookViewId="0">
      <selection activeCell="E29" sqref="E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60</v>
      </c>
      <c r="F4" s="261" t="s">
        <v>3</v>
      </c>
      <c r="G4" s="262"/>
      <c r="H4" s="9">
        <f>+E44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G34</f>
        <v>25567564</v>
      </c>
      <c r="I5" s="10"/>
    </row>
    <row r="6" spans="2:9" ht="21">
      <c r="B6" s="5"/>
      <c r="C6" s="11" t="s">
        <v>7</v>
      </c>
      <c r="D6" s="12" t="s">
        <v>1</v>
      </c>
      <c r="E6" s="15" t="s">
        <v>61</v>
      </c>
      <c r="F6" s="263" t="s">
        <v>9</v>
      </c>
      <c r="G6" s="264"/>
      <c r="H6" s="14">
        <f>H4-H5</f>
        <v>727563029.05500007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0.96605161941929929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/>
      <c r="F20" s="98"/>
      <c r="H20" s="190"/>
      <c r="I20" s="10"/>
    </row>
    <row r="21" spans="2:9" ht="18.600000000000001">
      <c r="B21" s="5"/>
      <c r="C21" s="217"/>
      <c r="D21" s="98"/>
      <c r="E21" s="222" t="s">
        <v>18</v>
      </c>
      <c r="F21" s="223"/>
      <c r="G21" s="224">
        <f>SUM(G15:G19)</f>
        <v>22845564</v>
      </c>
      <c r="H21" s="225">
        <f>H10-G21</f>
        <v>730285029.05500007</v>
      </c>
      <c r="I21" s="10"/>
    </row>
    <row r="22" spans="2:9" ht="18.600000000000001">
      <c r="B22" s="5"/>
      <c r="C22" s="189"/>
      <c r="D22" s="98"/>
      <c r="E22" s="98"/>
      <c r="F22" s="98"/>
      <c r="G22" s="98"/>
      <c r="H22" s="190"/>
      <c r="I22" s="10"/>
    </row>
    <row r="23" spans="2:9" ht="19.8">
      <c r="B23" s="5"/>
      <c r="C23" s="269" t="s">
        <v>19</v>
      </c>
      <c r="D23" s="272"/>
      <c r="E23" s="272"/>
      <c r="F23" s="98"/>
      <c r="G23" s="98"/>
      <c r="H23" s="190"/>
      <c r="I23" s="10"/>
    </row>
    <row r="24" spans="2:9" ht="19.8">
      <c r="B24" s="5"/>
      <c r="C24" s="215" t="s">
        <v>20</v>
      </c>
      <c r="D24" s="226" t="s">
        <v>21</v>
      </c>
      <c r="E24" s="226" t="s">
        <v>22</v>
      </c>
      <c r="F24" s="98"/>
      <c r="G24" s="98"/>
      <c r="H24" s="190"/>
      <c r="I24" s="10"/>
    </row>
    <row r="25" spans="2:9" ht="19.8">
      <c r="B25" s="5"/>
      <c r="C25" s="227">
        <v>44712</v>
      </c>
      <c r="D25" s="216" t="s">
        <v>23</v>
      </c>
      <c r="E25" s="223" t="s">
        <v>60</v>
      </c>
      <c r="F25" s="223"/>
      <c r="G25" s="228">
        <v>2722000</v>
      </c>
      <c r="H25" s="190"/>
      <c r="I25" s="10"/>
    </row>
    <row r="26" spans="2:9" ht="20.399999999999999">
      <c r="B26" s="5"/>
      <c r="C26" s="227">
        <v>44673</v>
      </c>
      <c r="D26" s="216"/>
      <c r="E26" s="242" t="s">
        <v>45</v>
      </c>
      <c r="F26" s="230"/>
      <c r="G26" s="231">
        <v>0</v>
      </c>
      <c r="H26" s="190"/>
      <c r="I26" s="10"/>
    </row>
    <row r="27" spans="2:9" ht="19.8">
      <c r="B27" s="5"/>
      <c r="C27" s="227"/>
      <c r="D27" s="216"/>
      <c r="E27" s="242" t="s">
        <v>54</v>
      </c>
      <c r="F27" s="232"/>
      <c r="G27" s="231">
        <v>0</v>
      </c>
      <c r="H27" s="190"/>
      <c r="I27" s="10"/>
    </row>
    <row r="28" spans="2:9" ht="19.8">
      <c r="B28" s="5"/>
      <c r="C28" s="227"/>
      <c r="D28" s="216"/>
      <c r="E28" s="243" t="s">
        <v>63</v>
      </c>
      <c r="F28" s="232"/>
      <c r="G28" s="233">
        <v>2722000</v>
      </c>
      <c r="H28" s="190"/>
      <c r="I28" s="10"/>
    </row>
    <row r="29" spans="2:9" ht="19.8">
      <c r="B29" s="5"/>
      <c r="C29" s="227"/>
      <c r="D29" s="216"/>
      <c r="E29" s="244" t="s">
        <v>48</v>
      </c>
      <c r="F29" s="232"/>
      <c r="G29" s="233"/>
      <c r="H29" s="190"/>
      <c r="I29" s="10"/>
    </row>
    <row r="30" spans="2:9" ht="19.8">
      <c r="B30" s="5"/>
      <c r="C30" s="227"/>
      <c r="D30" s="216"/>
      <c r="E30" s="244" t="s">
        <v>49</v>
      </c>
      <c r="F30" s="232"/>
      <c r="G30" s="233"/>
      <c r="H30" s="190"/>
      <c r="I30" s="10"/>
    </row>
    <row r="31" spans="2:9" ht="18.600000000000001">
      <c r="B31" s="5"/>
      <c r="C31" s="189"/>
      <c r="D31" s="98"/>
      <c r="E31" s="98"/>
      <c r="F31" s="98"/>
      <c r="G31" s="235">
        <v>0</v>
      </c>
      <c r="H31" s="190"/>
      <c r="I31" s="10"/>
    </row>
    <row r="32" spans="2:9" ht="19.8">
      <c r="B32" s="5"/>
      <c r="C32" s="189"/>
      <c r="D32" s="98"/>
      <c r="E32" s="236" t="s">
        <v>25</v>
      </c>
      <c r="G32" s="245">
        <f>G25-SUM(G26:G31)</f>
        <v>0</v>
      </c>
      <c r="H32" s="190"/>
      <c r="I32" s="10"/>
    </row>
    <row r="33" spans="2:9" ht="18.600000000000001">
      <c r="B33" s="5"/>
      <c r="C33" s="80"/>
      <c r="D33" s="48"/>
      <c r="E33" s="48"/>
      <c r="F33" s="48"/>
      <c r="G33" s="48"/>
      <c r="H33" s="81"/>
      <c r="I33" s="10"/>
    </row>
    <row r="34" spans="2:9" ht="19.8">
      <c r="B34" s="5"/>
      <c r="C34" s="277" t="s">
        <v>26</v>
      </c>
      <c r="D34" s="278"/>
      <c r="E34" s="278"/>
      <c r="F34" s="53"/>
      <c r="G34" s="202">
        <f>G21+G25</f>
        <v>25567564</v>
      </c>
      <c r="H34" s="203">
        <f>H10-G34</f>
        <v>727563029.05500007</v>
      </c>
      <c r="I34" s="10"/>
    </row>
    <row r="35" spans="2:9" ht="19.8">
      <c r="B35" s="5"/>
      <c r="C35" s="204" t="s">
        <v>27</v>
      </c>
      <c r="D35" s="205"/>
      <c r="E35" s="206"/>
      <c r="F35" s="98"/>
      <c r="G35" s="98"/>
      <c r="H35" s="190"/>
      <c r="I35" s="10"/>
    </row>
    <row r="36" spans="2:9" ht="19.8">
      <c r="B36" s="5"/>
      <c r="C36" s="207" t="s">
        <v>28</v>
      </c>
      <c r="D36" s="208" t="s">
        <v>1</v>
      </c>
      <c r="E36" s="238">
        <f>G32</f>
        <v>0</v>
      </c>
      <c r="F36" s="98"/>
      <c r="G36" s="98"/>
      <c r="H36" s="190"/>
      <c r="I36" s="10"/>
    </row>
    <row r="37" spans="2:9" ht="19.8">
      <c r="B37" s="5"/>
      <c r="C37" s="207" t="s">
        <v>29</v>
      </c>
      <c r="D37" s="208" t="s">
        <v>1</v>
      </c>
      <c r="E37" s="209" t="s">
        <v>30</v>
      </c>
      <c r="F37" s="98"/>
      <c r="G37" s="98"/>
      <c r="H37" s="190"/>
      <c r="I37" s="10"/>
    </row>
    <row r="38" spans="2:9" ht="19.8">
      <c r="B38" s="5"/>
      <c r="C38" s="210" t="s">
        <v>31</v>
      </c>
      <c r="D38" s="211" t="s">
        <v>1</v>
      </c>
      <c r="E38" s="212" t="s">
        <v>32</v>
      </c>
      <c r="F38" s="96"/>
      <c r="G38" s="275" t="s">
        <v>50</v>
      </c>
      <c r="H38" s="276"/>
      <c r="I38" s="10"/>
    </row>
    <row r="39" spans="2:9" ht="6" customHeight="1">
      <c r="B39" s="95"/>
      <c r="C39" s="96"/>
      <c r="D39" s="96"/>
      <c r="E39" s="96"/>
      <c r="F39" s="96"/>
      <c r="G39" s="96"/>
      <c r="H39" s="96"/>
      <c r="I39" s="97"/>
    </row>
    <row r="40" spans="2:9" ht="18.600000000000001">
      <c r="C40" s="98"/>
      <c r="D40" s="98"/>
      <c r="E40" s="98"/>
      <c r="F40" s="98"/>
      <c r="G40" s="98"/>
      <c r="H40" s="98"/>
    </row>
    <row r="41" spans="2:9" ht="19.8">
      <c r="C41" s="99" t="s">
        <v>34</v>
      </c>
      <c r="D41" s="100"/>
      <c r="E41" s="101"/>
      <c r="F41" s="102"/>
      <c r="G41" s="102"/>
      <c r="H41" s="98"/>
    </row>
    <row r="42" spans="2:9" ht="19.8">
      <c r="C42" s="99"/>
      <c r="D42" s="100"/>
      <c r="E42" s="101"/>
      <c r="F42" s="103" t="s">
        <v>35</v>
      </c>
      <c r="G42" s="104">
        <v>15000000</v>
      </c>
      <c r="H42" s="98"/>
    </row>
    <row r="43" spans="2:9" ht="19.8">
      <c r="C43" s="99" t="s">
        <v>36</v>
      </c>
      <c r="D43" s="100"/>
      <c r="E43" s="101">
        <v>75313059305.5</v>
      </c>
      <c r="F43" s="105" t="s">
        <v>37</v>
      </c>
      <c r="G43" s="106"/>
      <c r="H43" s="98"/>
    </row>
    <row r="44" spans="2:9" ht="19.8">
      <c r="C44" s="107">
        <v>0.01</v>
      </c>
      <c r="D44" s="100"/>
      <c r="E44" s="101">
        <f>E43*C44</f>
        <v>753130593.05500007</v>
      </c>
      <c r="F44" s="105" t="s">
        <v>38</v>
      </c>
      <c r="G44" s="108"/>
      <c r="H44" s="98"/>
    </row>
    <row r="45" spans="2:9" ht="18.600000000000001">
      <c r="C45" s="98"/>
      <c r="D45" s="98"/>
      <c r="E45" s="98"/>
      <c r="F45" s="98"/>
      <c r="G45" s="98"/>
      <c r="H45" s="98"/>
    </row>
    <row r="46" spans="2:9" ht="18.600000000000001">
      <c r="C46" s="98"/>
      <c r="D46" s="98"/>
      <c r="E46" s="98"/>
      <c r="F46" s="98"/>
      <c r="G46" s="98"/>
      <c r="H46" s="98"/>
    </row>
  </sheetData>
  <mergeCells count="12">
    <mergeCell ref="C34:E34"/>
    <mergeCell ref="G38:H38"/>
    <mergeCell ref="C11:E11"/>
    <mergeCell ref="D12:E12"/>
    <mergeCell ref="D13:E13"/>
    <mergeCell ref="C14:E14"/>
    <mergeCell ref="C23:E23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48"/>
  <sheetViews>
    <sheetView zoomScale="70" zoomScaleNormal="70" workbookViewId="0">
      <selection activeCell="O32" sqref="O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4" width="8.88671875" style="1"/>
    <col min="15" max="15" width="11.21875" style="1" customWidth="1"/>
    <col min="16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64</v>
      </c>
      <c r="F4" s="261" t="s">
        <v>3</v>
      </c>
      <c r="G4" s="262"/>
      <c r="H4" s="9">
        <f>+E46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G36</f>
        <v>37078951</v>
      </c>
      <c r="I5" s="10"/>
    </row>
    <row r="6" spans="2:9" ht="21">
      <c r="B6" s="5"/>
      <c r="C6" s="11" t="s">
        <v>7</v>
      </c>
      <c r="D6" s="12" t="s">
        <v>1</v>
      </c>
      <c r="E6" s="15" t="s">
        <v>65</v>
      </c>
      <c r="F6" s="263" t="s">
        <v>9</v>
      </c>
      <c r="G6" s="264"/>
      <c r="H6" s="14">
        <f>H4-H5</f>
        <v>716051642.05500007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0.9507669037190577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40">
        <f>+LK.06!G25</f>
        <v>2722000</v>
      </c>
      <c r="H20" s="190"/>
      <c r="I20" s="10"/>
    </row>
    <row r="21" spans="2:9" ht="19.8">
      <c r="B21" s="5"/>
      <c r="C21" s="215"/>
      <c r="D21" s="216"/>
      <c r="E21" s="218"/>
      <c r="F21" s="98"/>
      <c r="H21" s="190"/>
      <c r="I21" s="10"/>
    </row>
    <row r="22" spans="2:9" ht="18.600000000000001">
      <c r="B22" s="5"/>
      <c r="C22" s="217"/>
      <c r="D22" s="98"/>
      <c r="E22" s="222" t="s">
        <v>18</v>
      </c>
      <c r="F22" s="223"/>
      <c r="G22" s="224">
        <f>SUM(G15:G20)</f>
        <v>25567564</v>
      </c>
      <c r="H22" s="225">
        <f>H10-G22</f>
        <v>727563029.05500007</v>
      </c>
      <c r="I22" s="10"/>
    </row>
    <row r="23" spans="2:9" ht="18.600000000000001">
      <c r="B23" s="5"/>
      <c r="C23" s="189"/>
      <c r="D23" s="98"/>
      <c r="E23" s="98"/>
      <c r="F23" s="98"/>
      <c r="G23" s="98"/>
      <c r="H23" s="190"/>
      <c r="I23" s="10"/>
    </row>
    <row r="24" spans="2:9" ht="19.8">
      <c r="B24" s="5"/>
      <c r="C24" s="269" t="s">
        <v>19</v>
      </c>
      <c r="D24" s="272"/>
      <c r="E24" s="272"/>
      <c r="F24" s="98"/>
      <c r="G24" s="98"/>
      <c r="H24" s="190"/>
      <c r="I24" s="10"/>
    </row>
    <row r="25" spans="2:9" ht="19.8">
      <c r="B25" s="5"/>
      <c r="C25" s="215" t="s">
        <v>20</v>
      </c>
      <c r="D25" s="226" t="s">
        <v>21</v>
      </c>
      <c r="E25" s="226" t="s">
        <v>22</v>
      </c>
      <c r="F25" s="98"/>
      <c r="G25" s="98"/>
      <c r="H25" s="190"/>
      <c r="I25" s="10"/>
    </row>
    <row r="26" spans="2:9" ht="19.8">
      <c r="B26" s="5"/>
      <c r="C26" s="227">
        <v>44712</v>
      </c>
      <c r="D26" s="216" t="s">
        <v>23</v>
      </c>
      <c r="E26" s="223" t="s">
        <v>64</v>
      </c>
      <c r="F26" s="223"/>
      <c r="G26" s="228">
        <v>11511387</v>
      </c>
      <c r="H26" s="190"/>
      <c r="I26" s="10"/>
    </row>
    <row r="27" spans="2:9" ht="20.399999999999999">
      <c r="B27" s="5"/>
      <c r="C27" s="227">
        <v>44673</v>
      </c>
      <c r="D27" s="216"/>
      <c r="E27" s="229" t="s">
        <v>45</v>
      </c>
      <c r="F27" s="230"/>
      <c r="G27" s="231">
        <v>0</v>
      </c>
      <c r="H27" s="190"/>
      <c r="I27" s="10"/>
    </row>
    <row r="28" spans="2:9" ht="19.8">
      <c r="B28" s="5"/>
      <c r="C28" s="227"/>
      <c r="D28" s="216"/>
      <c r="E28" s="229" t="s">
        <v>54</v>
      </c>
      <c r="F28" s="232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67</v>
      </c>
      <c r="F29" s="232"/>
      <c r="G29" s="233">
        <v>306936</v>
      </c>
      <c r="H29" s="190"/>
      <c r="I29" s="10"/>
    </row>
    <row r="30" spans="2:9" ht="19.8">
      <c r="B30" s="5"/>
      <c r="C30" s="227"/>
      <c r="D30" s="216"/>
      <c r="E30" s="229" t="s">
        <v>68</v>
      </c>
      <c r="F30" s="232"/>
      <c r="G30" s="233">
        <v>10000000</v>
      </c>
      <c r="H30" s="190"/>
      <c r="I30" s="10"/>
    </row>
    <row r="31" spans="2:9" ht="19.8">
      <c r="B31" s="5"/>
      <c r="C31" s="227"/>
      <c r="D31" s="216"/>
      <c r="E31" s="234" t="s">
        <v>69</v>
      </c>
      <c r="F31" s="232"/>
      <c r="G31" s="233">
        <v>1304451</v>
      </c>
      <c r="H31" s="190"/>
      <c r="I31" s="10"/>
    </row>
    <row r="32" spans="2:9" ht="19.8">
      <c r="B32" s="5"/>
      <c r="C32" s="227"/>
      <c r="D32" s="216"/>
      <c r="E32" s="234" t="s">
        <v>70</v>
      </c>
      <c r="F32" s="232"/>
      <c r="G32" s="233"/>
      <c r="H32" s="190"/>
      <c r="I32" s="10"/>
    </row>
    <row r="33" spans="2:9" ht="18.600000000000001">
      <c r="B33" s="5"/>
      <c r="C33" s="189"/>
      <c r="D33" s="98"/>
      <c r="E33" s="98"/>
      <c r="F33" s="98"/>
      <c r="G33" s="235">
        <v>0</v>
      </c>
      <c r="H33" s="190"/>
      <c r="I33" s="10"/>
    </row>
    <row r="34" spans="2:9" ht="19.8">
      <c r="B34" s="5"/>
      <c r="C34" s="189"/>
      <c r="D34" s="98"/>
      <c r="E34" s="236" t="s">
        <v>25</v>
      </c>
      <c r="G34" s="241">
        <f>G26-SUM(G27:G33)</f>
        <v>-100000</v>
      </c>
      <c r="H34" s="190"/>
      <c r="I34" s="10"/>
    </row>
    <row r="35" spans="2:9" ht="18.600000000000001">
      <c r="B35" s="5"/>
      <c r="C35" s="80"/>
      <c r="D35" s="48"/>
      <c r="E35" s="48"/>
      <c r="F35" s="48"/>
      <c r="G35" s="48"/>
      <c r="H35" s="81"/>
      <c r="I35" s="10"/>
    </row>
    <row r="36" spans="2:9" ht="19.8">
      <c r="B36" s="5"/>
      <c r="C36" s="277" t="s">
        <v>26</v>
      </c>
      <c r="D36" s="278"/>
      <c r="E36" s="278"/>
      <c r="F36" s="53"/>
      <c r="G36" s="202">
        <f>G22+G26</f>
        <v>37078951</v>
      </c>
      <c r="H36" s="203">
        <f>H10-G36</f>
        <v>716051642.05500007</v>
      </c>
      <c r="I36" s="10"/>
    </row>
    <row r="37" spans="2:9" ht="19.8">
      <c r="B37" s="5"/>
      <c r="C37" s="204" t="s">
        <v>27</v>
      </c>
      <c r="D37" s="205"/>
      <c r="E37" s="206"/>
      <c r="F37" s="98"/>
      <c r="G37" s="98"/>
      <c r="H37" s="190"/>
      <c r="I37" s="10"/>
    </row>
    <row r="38" spans="2:9" ht="19.8">
      <c r="B38" s="5"/>
      <c r="C38" s="207" t="s">
        <v>28</v>
      </c>
      <c r="D38" s="208" t="s">
        <v>1</v>
      </c>
      <c r="E38" s="238">
        <f>G34</f>
        <v>-100000</v>
      </c>
      <c r="F38" s="98"/>
      <c r="G38" s="98"/>
      <c r="H38" s="190"/>
      <c r="I38" s="10"/>
    </row>
    <row r="39" spans="2:9" ht="19.8">
      <c r="B39" s="5"/>
      <c r="C39" s="207" t="s">
        <v>29</v>
      </c>
      <c r="D39" s="208" t="s">
        <v>1</v>
      </c>
      <c r="E39" s="209" t="s">
        <v>30</v>
      </c>
      <c r="F39" s="98"/>
      <c r="G39" s="98"/>
      <c r="H39" s="190"/>
      <c r="I39" s="10"/>
    </row>
    <row r="40" spans="2:9" ht="19.8">
      <c r="B40" s="5"/>
      <c r="C40" s="210" t="s">
        <v>31</v>
      </c>
      <c r="D40" s="211" t="s">
        <v>1</v>
      </c>
      <c r="E40" s="212" t="s">
        <v>32</v>
      </c>
      <c r="F40" s="96"/>
      <c r="G40" s="275" t="s">
        <v>50</v>
      </c>
      <c r="H40" s="276"/>
      <c r="I40" s="10"/>
    </row>
    <row r="41" spans="2:9" ht="6" customHeight="1">
      <c r="B41" s="95"/>
      <c r="C41" s="96"/>
      <c r="D41" s="96"/>
      <c r="E41" s="96"/>
      <c r="F41" s="96"/>
      <c r="G41" s="96"/>
      <c r="H41" s="96"/>
      <c r="I41" s="97"/>
    </row>
    <row r="42" spans="2:9" ht="18.600000000000001">
      <c r="C42" s="98"/>
      <c r="D42" s="98"/>
      <c r="E42" s="98"/>
      <c r="F42" s="98"/>
      <c r="G42" s="98"/>
      <c r="H42" s="98"/>
    </row>
    <row r="43" spans="2:9" ht="19.8">
      <c r="C43" s="99" t="s">
        <v>34</v>
      </c>
      <c r="D43" s="100"/>
      <c r="E43" s="101"/>
      <c r="F43" s="102"/>
      <c r="G43" s="102"/>
      <c r="H43" s="98"/>
    </row>
    <row r="44" spans="2:9" ht="19.8">
      <c r="C44" s="99"/>
      <c r="D44" s="100"/>
      <c r="E44" s="101"/>
      <c r="F44" s="103" t="s">
        <v>35</v>
      </c>
      <c r="G44" s="104">
        <v>15000000</v>
      </c>
      <c r="H44" s="98"/>
    </row>
    <row r="45" spans="2:9" ht="19.8">
      <c r="C45" s="99" t="s">
        <v>36</v>
      </c>
      <c r="D45" s="100"/>
      <c r="E45" s="101">
        <v>75313059305.5</v>
      </c>
      <c r="F45" s="105" t="s">
        <v>37</v>
      </c>
      <c r="G45" s="106"/>
      <c r="H45" s="98"/>
    </row>
    <row r="46" spans="2:9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  <c r="H46" s="98"/>
    </row>
    <row r="47" spans="2:9" ht="18.600000000000001">
      <c r="C47" s="98"/>
      <c r="D47" s="98"/>
      <c r="E47" s="98"/>
      <c r="F47" s="98"/>
      <c r="G47" s="98"/>
      <c r="H47" s="98"/>
    </row>
    <row r="48" spans="2:9" ht="18.600000000000001">
      <c r="C48" s="98"/>
      <c r="D48" s="98"/>
      <c r="E48" s="98"/>
      <c r="F48" s="98"/>
      <c r="G48" s="98"/>
      <c r="H48" s="98"/>
    </row>
  </sheetData>
  <mergeCells count="12">
    <mergeCell ref="C36:E36"/>
    <mergeCell ref="G40:H40"/>
    <mergeCell ref="C11:E11"/>
    <mergeCell ref="D12:E12"/>
    <mergeCell ref="D13:E13"/>
    <mergeCell ref="C14:E14"/>
    <mergeCell ref="C24:E24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49"/>
  <sheetViews>
    <sheetView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71</v>
      </c>
      <c r="F4" s="261" t="s">
        <v>3</v>
      </c>
      <c r="G4" s="262"/>
      <c r="H4" s="9">
        <f>+E47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G37</f>
        <v>49810445.920000002</v>
      </c>
      <c r="I5" s="10"/>
    </row>
    <row r="6" spans="2:9" ht="21">
      <c r="B6" s="5"/>
      <c r="C6" s="11" t="s">
        <v>7</v>
      </c>
      <c r="D6" s="12" t="s">
        <v>1</v>
      </c>
      <c r="E6" s="15" t="s">
        <v>72</v>
      </c>
      <c r="F6" s="263" t="s">
        <v>9</v>
      </c>
      <c r="G6" s="264"/>
      <c r="H6" s="14">
        <f>H4-H5</f>
        <v>703320147.13500011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0.93386213974133114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69" t="s">
        <v>15</v>
      </c>
      <c r="D11" s="270"/>
      <c r="E11" s="270"/>
      <c r="F11" s="98"/>
      <c r="G11" s="98"/>
      <c r="H11" s="190"/>
      <c r="I11" s="10"/>
    </row>
    <row r="12" spans="2:9" ht="18.600000000000001">
      <c r="B12" s="5"/>
      <c r="C12" s="217">
        <v>1</v>
      </c>
      <c r="D12" s="271" t="s">
        <v>16</v>
      </c>
      <c r="E12" s="271"/>
      <c r="F12" s="98"/>
      <c r="G12" s="219">
        <v>0</v>
      </c>
      <c r="H12" s="190"/>
      <c r="I12" s="10"/>
    </row>
    <row r="13" spans="2:9" ht="18.600000000000001">
      <c r="B13" s="5"/>
      <c r="C13" s="189"/>
      <c r="D13" s="271"/>
      <c r="E13" s="271"/>
      <c r="F13" s="98"/>
      <c r="G13" s="98"/>
      <c r="H13" s="190"/>
      <c r="I13" s="10"/>
    </row>
    <row r="14" spans="2:9" ht="19.8">
      <c r="B14" s="5"/>
      <c r="C14" s="269" t="s">
        <v>17</v>
      </c>
      <c r="D14" s="270"/>
      <c r="E14" s="270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20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20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21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21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21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21">
        <f>+LK.06!G25</f>
        <v>2722000</v>
      </c>
      <c r="H20" s="190"/>
      <c r="I20" s="10"/>
    </row>
    <row r="21" spans="2:9" ht="19.8">
      <c r="B21" s="5"/>
      <c r="C21" s="215"/>
      <c r="D21" s="216"/>
      <c r="E21" s="218" t="s">
        <v>73</v>
      </c>
      <c r="F21" s="98"/>
      <c r="G21" s="221">
        <f>+LK.07!G26</f>
        <v>11511387</v>
      </c>
      <c r="H21" s="190"/>
      <c r="I21" s="10"/>
    </row>
    <row r="22" spans="2:9" ht="19.8">
      <c r="B22" s="5"/>
      <c r="C22" s="215"/>
      <c r="D22" s="216"/>
      <c r="E22" s="218"/>
      <c r="F22" s="98"/>
      <c r="H22" s="190"/>
      <c r="I22" s="10"/>
    </row>
    <row r="23" spans="2:9" ht="18.600000000000001">
      <c r="B23" s="5"/>
      <c r="C23" s="217"/>
      <c r="D23" s="98"/>
      <c r="E23" s="222" t="s">
        <v>18</v>
      </c>
      <c r="F23" s="223"/>
      <c r="G23" s="224">
        <f>SUM(G15:G21)</f>
        <v>37078951</v>
      </c>
      <c r="H23" s="225">
        <f>H10-G23</f>
        <v>716051642.05500007</v>
      </c>
      <c r="I23" s="10"/>
    </row>
    <row r="24" spans="2:9" ht="18.600000000000001">
      <c r="B24" s="5"/>
      <c r="C24" s="189"/>
      <c r="D24" s="98"/>
      <c r="E24" s="98"/>
      <c r="F24" s="98"/>
      <c r="G24" s="98"/>
      <c r="H24" s="190"/>
      <c r="I24" s="10"/>
    </row>
    <row r="25" spans="2:9" ht="19.8">
      <c r="B25" s="5"/>
      <c r="C25" s="269" t="s">
        <v>19</v>
      </c>
      <c r="D25" s="272"/>
      <c r="E25" s="272"/>
      <c r="F25" s="98"/>
      <c r="G25" s="98"/>
      <c r="H25" s="190"/>
      <c r="I25" s="10"/>
    </row>
    <row r="26" spans="2:9" ht="19.8">
      <c r="B26" s="5"/>
      <c r="C26" s="215" t="s">
        <v>20</v>
      </c>
      <c r="D26" s="226" t="s">
        <v>21</v>
      </c>
      <c r="E26" s="226" t="s">
        <v>22</v>
      </c>
      <c r="F26" s="98"/>
      <c r="G26" s="98"/>
      <c r="H26" s="190"/>
      <c r="I26" s="10"/>
    </row>
    <row r="27" spans="2:9" ht="19.8">
      <c r="B27" s="5"/>
      <c r="C27" s="227">
        <v>44712</v>
      </c>
      <c r="D27" s="216" t="s">
        <v>23</v>
      </c>
      <c r="E27" s="223" t="s">
        <v>74</v>
      </c>
      <c r="F27" s="223"/>
      <c r="G27" s="228">
        <v>12731494.92</v>
      </c>
      <c r="H27" s="190"/>
      <c r="I27" s="10"/>
    </row>
    <row r="28" spans="2:9" ht="20.399999999999999">
      <c r="B28" s="5"/>
      <c r="C28" s="227">
        <v>44673</v>
      </c>
      <c r="D28" s="216"/>
      <c r="E28" s="229" t="s">
        <v>45</v>
      </c>
      <c r="F28" s="230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54</v>
      </c>
      <c r="F29" s="232"/>
      <c r="G29" s="231">
        <v>0</v>
      </c>
      <c r="H29" s="190"/>
      <c r="I29" s="10"/>
    </row>
    <row r="30" spans="2:9" ht="19.8">
      <c r="B30" s="5"/>
      <c r="C30" s="227"/>
      <c r="D30" s="216"/>
      <c r="E30" s="229" t="s">
        <v>67</v>
      </c>
      <c r="F30" s="232"/>
      <c r="G30" s="231">
        <v>0</v>
      </c>
      <c r="H30" s="190"/>
      <c r="I30" s="10"/>
    </row>
    <row r="31" spans="2:9" ht="19.8">
      <c r="B31" s="5"/>
      <c r="C31" s="227"/>
      <c r="D31" s="216"/>
      <c r="E31" s="229" t="s">
        <v>68</v>
      </c>
      <c r="F31" s="232"/>
      <c r="G31" s="231">
        <v>0</v>
      </c>
      <c r="H31" s="190"/>
      <c r="I31" s="10"/>
    </row>
    <row r="32" spans="2:9" ht="19.8">
      <c r="B32" s="5"/>
      <c r="C32" s="227"/>
      <c r="D32" s="216"/>
      <c r="E32" s="229" t="s">
        <v>75</v>
      </c>
      <c r="F32" s="232"/>
      <c r="G32" s="233">
        <v>12695549</v>
      </c>
      <c r="H32" s="190"/>
      <c r="I32" s="10"/>
    </row>
    <row r="33" spans="2:9" ht="19.8">
      <c r="B33" s="5"/>
      <c r="C33" s="227"/>
      <c r="D33" s="216"/>
      <c r="E33" s="234" t="s">
        <v>76</v>
      </c>
      <c r="F33" s="232"/>
      <c r="G33" s="233">
        <v>35945.919999999998</v>
      </c>
      <c r="H33" s="190"/>
      <c r="I33" s="10"/>
    </row>
    <row r="34" spans="2:9" ht="18.600000000000001">
      <c r="B34" s="5"/>
      <c r="C34" s="189"/>
      <c r="D34" s="98"/>
      <c r="E34" s="98"/>
      <c r="F34" s="98"/>
      <c r="G34" s="235">
        <v>0</v>
      </c>
      <c r="H34" s="190"/>
      <c r="I34" s="10"/>
    </row>
    <row r="35" spans="2:9" ht="19.8">
      <c r="B35" s="5"/>
      <c r="C35" s="189"/>
      <c r="D35" s="98"/>
      <c r="E35" s="236" t="s">
        <v>25</v>
      </c>
      <c r="G35" s="237">
        <f>G27-SUM(G28:G34)</f>
        <v>0</v>
      </c>
      <c r="H35" s="190"/>
      <c r="I35" s="10"/>
    </row>
    <row r="36" spans="2:9" ht="18.600000000000001">
      <c r="B36" s="5"/>
      <c r="C36" s="80"/>
      <c r="D36" s="48"/>
      <c r="E36" s="48"/>
      <c r="F36" s="48"/>
      <c r="G36" s="48"/>
      <c r="H36" s="81"/>
      <c r="I36" s="10"/>
    </row>
    <row r="37" spans="2:9" ht="19.8">
      <c r="B37" s="5"/>
      <c r="C37" s="277" t="s">
        <v>26</v>
      </c>
      <c r="D37" s="278"/>
      <c r="E37" s="278"/>
      <c r="F37" s="53"/>
      <c r="G37" s="202">
        <f>G23+G27</f>
        <v>49810445.920000002</v>
      </c>
      <c r="H37" s="203">
        <f>H10-G37</f>
        <v>703320147.13500011</v>
      </c>
      <c r="I37" s="10"/>
    </row>
    <row r="38" spans="2:9" ht="19.8">
      <c r="B38" s="5"/>
      <c r="C38" s="204" t="s">
        <v>27</v>
      </c>
      <c r="D38" s="205"/>
      <c r="E38" s="206"/>
      <c r="F38" s="98"/>
      <c r="G38" s="98"/>
      <c r="H38" s="190"/>
      <c r="I38" s="10"/>
    </row>
    <row r="39" spans="2:9" ht="19.8">
      <c r="B39" s="5"/>
      <c r="C39" s="207" t="s">
        <v>28</v>
      </c>
      <c r="D39" s="208" t="s">
        <v>1</v>
      </c>
      <c r="E39" s="238">
        <f>G35</f>
        <v>0</v>
      </c>
      <c r="F39" s="98"/>
      <c r="G39" s="98"/>
      <c r="H39" s="190"/>
      <c r="I39" s="10"/>
    </row>
    <row r="40" spans="2:9" ht="19.8">
      <c r="B40" s="5"/>
      <c r="C40" s="207" t="s">
        <v>29</v>
      </c>
      <c r="D40" s="208" t="s">
        <v>1</v>
      </c>
      <c r="E40" s="209" t="s">
        <v>30</v>
      </c>
      <c r="F40" s="98"/>
      <c r="G40" s="98"/>
      <c r="H40" s="190"/>
      <c r="I40" s="10"/>
    </row>
    <row r="41" spans="2:9" ht="19.8">
      <c r="B41" s="5"/>
      <c r="C41" s="210" t="s">
        <v>31</v>
      </c>
      <c r="D41" s="211" t="s">
        <v>1</v>
      </c>
      <c r="E41" s="212" t="s">
        <v>32</v>
      </c>
      <c r="F41" s="96"/>
      <c r="G41" s="275" t="s">
        <v>50</v>
      </c>
      <c r="H41" s="276"/>
      <c r="I41" s="10"/>
    </row>
    <row r="42" spans="2:9" ht="6" customHeight="1">
      <c r="B42" s="95"/>
      <c r="C42" s="96"/>
      <c r="D42" s="96"/>
      <c r="E42" s="96"/>
      <c r="F42" s="96"/>
      <c r="G42" s="96"/>
      <c r="H42" s="96"/>
      <c r="I42" s="97"/>
    </row>
    <row r="43" spans="2:9" ht="18.600000000000001">
      <c r="C43" s="98"/>
      <c r="D43" s="98"/>
      <c r="E43" s="98"/>
      <c r="F43" s="98"/>
      <c r="G43" s="98"/>
      <c r="H43" s="98"/>
    </row>
    <row r="44" spans="2:9" ht="19.8">
      <c r="C44" s="99" t="s">
        <v>34</v>
      </c>
      <c r="D44" s="100"/>
      <c r="E44" s="101"/>
      <c r="F44" s="102"/>
      <c r="G44" s="102"/>
      <c r="H44" s="98"/>
    </row>
    <row r="45" spans="2:9" ht="19.8">
      <c r="C45" s="99"/>
      <c r="D45" s="100"/>
      <c r="E45" s="101"/>
      <c r="F45" s="103" t="s">
        <v>35</v>
      </c>
      <c r="G45" s="104">
        <v>15000000</v>
      </c>
      <c r="H45" s="98"/>
    </row>
    <row r="46" spans="2:9" ht="19.8">
      <c r="C46" s="99" t="s">
        <v>36</v>
      </c>
      <c r="D46" s="100"/>
      <c r="E46" s="101">
        <v>75313059305.5</v>
      </c>
      <c r="F46" s="105" t="s">
        <v>37</v>
      </c>
      <c r="G46" s="106"/>
      <c r="H46" s="98"/>
    </row>
    <row r="47" spans="2:9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  <c r="H47" s="98"/>
    </row>
    <row r="48" spans="2:9" ht="18.600000000000001">
      <c r="C48" s="98"/>
      <c r="D48" s="98"/>
      <c r="E48" s="98"/>
      <c r="F48" s="98"/>
      <c r="G48" s="98"/>
      <c r="H48" s="98"/>
    </row>
    <row r="49" spans="3:8" ht="18.600000000000001">
      <c r="C49" s="98"/>
      <c r="D49" s="98"/>
      <c r="E49" s="98"/>
      <c r="F49" s="98"/>
      <c r="G49" s="98"/>
      <c r="H49" s="98"/>
    </row>
  </sheetData>
  <mergeCells count="12">
    <mergeCell ref="C37:E37"/>
    <mergeCell ref="G41:H41"/>
    <mergeCell ref="C11:E11"/>
    <mergeCell ref="D12:E12"/>
    <mergeCell ref="D13:E13"/>
    <mergeCell ref="C14:E14"/>
    <mergeCell ref="C25:E25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6" width="23.109375" style="1" customWidth="1"/>
    <col min="7" max="7" width="26.88671875" style="1" customWidth="1"/>
    <col min="8" max="8" width="23.109375" style="1" customWidth="1"/>
    <col min="9" max="9" width="1" style="1" customWidth="1"/>
    <col min="10" max="13" width="8.88671875" style="1"/>
    <col min="14" max="14" width="15.21875" style="1" customWidth="1"/>
    <col min="15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77</v>
      </c>
      <c r="F4" s="261" t="s">
        <v>3</v>
      </c>
      <c r="G4" s="262"/>
      <c r="H4" s="9">
        <f>+E48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63" t="s">
        <v>6</v>
      </c>
      <c r="G5" s="264"/>
      <c r="H5" s="14">
        <f>G38</f>
        <v>66975064.350000001</v>
      </c>
      <c r="I5" s="10"/>
    </row>
    <row r="6" spans="2:9" ht="21">
      <c r="B6" s="5"/>
      <c r="C6" s="11" t="s">
        <v>7</v>
      </c>
      <c r="D6" s="12" t="s">
        <v>1</v>
      </c>
      <c r="E6" s="15" t="s">
        <v>78</v>
      </c>
      <c r="F6" s="263" t="s">
        <v>9</v>
      </c>
      <c r="G6" s="264"/>
      <c r="H6" s="14">
        <f>H4-H5</f>
        <v>686155528.70500004</v>
      </c>
      <c r="I6" s="10"/>
    </row>
    <row r="7" spans="2:9" ht="21">
      <c r="B7" s="5"/>
      <c r="C7" s="16"/>
      <c r="D7" s="17"/>
      <c r="E7" s="17"/>
      <c r="F7" s="265" t="s">
        <v>10</v>
      </c>
      <c r="G7" s="266"/>
      <c r="H7" s="19">
        <f>H6/H4</f>
        <v>0.91107111440218846</v>
      </c>
      <c r="I7" s="10"/>
    </row>
    <row r="8" spans="2:9" ht="6" customHeight="1">
      <c r="B8" s="5"/>
      <c r="I8" s="10"/>
    </row>
    <row r="9" spans="2:9" ht="20.399999999999999">
      <c r="B9" s="5"/>
      <c r="C9" s="267" t="s">
        <v>11</v>
      </c>
      <c r="D9" s="268"/>
      <c r="E9" s="268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167"/>
      <c r="D10" s="168"/>
      <c r="E10" s="168"/>
      <c r="F10" s="168"/>
      <c r="G10" s="168"/>
      <c r="H10" s="169">
        <f>H4</f>
        <v>753130593.05500007</v>
      </c>
      <c r="I10" s="10"/>
    </row>
    <row r="11" spans="2:9" ht="19.8">
      <c r="B11" s="5"/>
      <c r="C11" s="279" t="s">
        <v>15</v>
      </c>
      <c r="D11" s="280"/>
      <c r="E11" s="280"/>
      <c r="F11" s="168"/>
      <c r="G11" s="168"/>
      <c r="H11" s="172"/>
      <c r="I11" s="10"/>
    </row>
    <row r="12" spans="2:9" ht="18.600000000000001">
      <c r="B12" s="5"/>
      <c r="C12" s="173">
        <v>1</v>
      </c>
      <c r="D12" s="281" t="s">
        <v>16</v>
      </c>
      <c r="E12" s="281"/>
      <c r="F12" s="168"/>
      <c r="G12" s="175">
        <v>0</v>
      </c>
      <c r="H12" s="172"/>
      <c r="I12" s="10"/>
    </row>
    <row r="13" spans="2:9" ht="18.600000000000001">
      <c r="B13" s="5"/>
      <c r="C13" s="167"/>
      <c r="D13" s="281"/>
      <c r="E13" s="281"/>
      <c r="F13" s="168"/>
      <c r="G13" s="168"/>
      <c r="H13" s="172"/>
      <c r="I13" s="10"/>
    </row>
    <row r="14" spans="2:9" ht="19.8">
      <c r="B14" s="5"/>
      <c r="C14" s="279" t="s">
        <v>17</v>
      </c>
      <c r="D14" s="280"/>
      <c r="E14" s="280"/>
      <c r="F14" s="168"/>
      <c r="G14" s="168"/>
      <c r="H14" s="172"/>
      <c r="I14" s="10"/>
    </row>
    <row r="15" spans="2:9" ht="19.8">
      <c r="B15" s="5"/>
      <c r="C15" s="170"/>
      <c r="D15" s="171"/>
      <c r="E15" s="174" t="s">
        <v>41</v>
      </c>
      <c r="F15" s="168"/>
      <c r="G15" s="176">
        <f>+LK.01!G20</f>
        <v>3630500</v>
      </c>
      <c r="H15" s="172"/>
      <c r="I15" s="10"/>
    </row>
    <row r="16" spans="2:9" ht="19.8">
      <c r="B16" s="5"/>
      <c r="C16" s="170"/>
      <c r="D16" s="171"/>
      <c r="E16" s="174" t="s">
        <v>44</v>
      </c>
      <c r="F16" s="168"/>
      <c r="G16" s="176">
        <f>+LK.02!G22</f>
        <v>2244000</v>
      </c>
      <c r="H16" s="172"/>
      <c r="I16" s="10"/>
    </row>
    <row r="17" spans="2:14" ht="19.8">
      <c r="B17" s="5"/>
      <c r="C17" s="170"/>
      <c r="D17" s="171"/>
      <c r="E17" s="174" t="s">
        <v>53</v>
      </c>
      <c r="F17" s="168"/>
      <c r="G17" s="177">
        <f>+LK.03!G22</f>
        <v>7381394</v>
      </c>
      <c r="H17" s="172"/>
      <c r="I17" s="10"/>
    </row>
    <row r="18" spans="2:14" ht="19.8">
      <c r="B18" s="5"/>
      <c r="C18" s="170"/>
      <c r="D18" s="171"/>
      <c r="E18" s="174" t="s">
        <v>58</v>
      </c>
      <c r="F18" s="168"/>
      <c r="G18" s="177">
        <f>+LK.04!G23</f>
        <v>3592000</v>
      </c>
      <c r="H18" s="172"/>
      <c r="I18" s="10"/>
    </row>
    <row r="19" spans="2:14" ht="19.8">
      <c r="B19" s="5"/>
      <c r="C19" s="170"/>
      <c r="D19" s="171"/>
      <c r="E19" s="174" t="s">
        <v>62</v>
      </c>
      <c r="F19" s="168"/>
      <c r="G19" s="177">
        <f>+LK.05!G24</f>
        <v>5997670</v>
      </c>
      <c r="H19" s="172"/>
      <c r="I19" s="10"/>
    </row>
    <row r="20" spans="2:14" ht="19.8">
      <c r="B20" s="5"/>
      <c r="C20" s="170"/>
      <c r="D20" s="171"/>
      <c r="E20" s="174" t="s">
        <v>66</v>
      </c>
      <c r="F20" s="168"/>
      <c r="G20" s="177">
        <f>+LK.06!G25</f>
        <v>2722000</v>
      </c>
      <c r="H20" s="172"/>
      <c r="I20" s="10"/>
    </row>
    <row r="21" spans="2:14" ht="19.8">
      <c r="B21" s="5"/>
      <c r="C21" s="170"/>
      <c r="D21" s="171"/>
      <c r="E21" s="174" t="s">
        <v>73</v>
      </c>
      <c r="F21" s="168"/>
      <c r="G21" s="177">
        <f>+LK.07!G26</f>
        <v>11511387</v>
      </c>
      <c r="H21" s="172"/>
      <c r="I21" s="10"/>
    </row>
    <row r="22" spans="2:14" ht="19.8">
      <c r="B22" s="5"/>
      <c r="C22" s="170"/>
      <c r="D22" s="171"/>
      <c r="E22" s="174" t="s">
        <v>79</v>
      </c>
      <c r="F22" s="168"/>
      <c r="G22" s="177">
        <f>+LK.08!G27</f>
        <v>12731494.92</v>
      </c>
      <c r="H22" s="172"/>
      <c r="I22" s="10"/>
    </row>
    <row r="23" spans="2:14" ht="19.8">
      <c r="B23" s="5"/>
      <c r="C23" s="178"/>
      <c r="D23" s="179"/>
      <c r="E23" s="180"/>
      <c r="F23" s="181"/>
      <c r="G23" s="182"/>
      <c r="H23" s="183"/>
      <c r="I23" s="10"/>
    </row>
    <row r="24" spans="2:14" ht="18.600000000000001">
      <c r="B24" s="5"/>
      <c r="C24" s="184"/>
      <c r="D24" s="185"/>
      <c r="E24" s="186" t="s">
        <v>18</v>
      </c>
      <c r="F24" s="185"/>
      <c r="G24" s="187">
        <f>SUM(G15:G22)</f>
        <v>49810445.920000002</v>
      </c>
      <c r="H24" s="188">
        <f>H10-G24</f>
        <v>703320147.13500011</v>
      </c>
      <c r="I24" s="10"/>
    </row>
    <row r="25" spans="2:14" ht="18.600000000000001">
      <c r="B25" s="5"/>
      <c r="C25" s="189"/>
      <c r="D25" s="98"/>
      <c r="E25" s="98"/>
      <c r="F25" s="98"/>
      <c r="G25" s="98"/>
      <c r="H25" s="190"/>
      <c r="I25" s="10"/>
    </row>
    <row r="26" spans="2:14" ht="19.8">
      <c r="B26" s="5"/>
      <c r="C26" s="282" t="s">
        <v>19</v>
      </c>
      <c r="D26" s="283"/>
      <c r="E26" s="283"/>
      <c r="F26" s="96"/>
      <c r="G26" s="96"/>
      <c r="H26" s="191"/>
      <c r="I26" s="10"/>
    </row>
    <row r="27" spans="2:14" ht="19.8">
      <c r="B27" s="5"/>
      <c r="C27" s="170" t="s">
        <v>20</v>
      </c>
      <c r="D27" s="192" t="s">
        <v>21</v>
      </c>
      <c r="E27" s="192" t="s">
        <v>22</v>
      </c>
      <c r="F27" s="168"/>
      <c r="G27" s="168"/>
      <c r="H27" s="172"/>
      <c r="I27" s="10"/>
    </row>
    <row r="28" spans="2:14" ht="19.8">
      <c r="B28" s="5"/>
      <c r="C28" s="193">
        <v>44846</v>
      </c>
      <c r="D28" s="171" t="s">
        <v>23</v>
      </c>
      <c r="E28" s="160" t="s">
        <v>80</v>
      </c>
      <c r="F28" s="194"/>
      <c r="G28" s="161">
        <v>17164618.43</v>
      </c>
      <c r="H28" s="172"/>
      <c r="I28" s="10"/>
    </row>
    <row r="29" spans="2:14" ht="20.399999999999999">
      <c r="B29" s="5"/>
      <c r="C29" s="193">
        <v>44673</v>
      </c>
      <c r="D29" s="171"/>
      <c r="E29" s="195" t="s">
        <v>45</v>
      </c>
      <c r="F29" s="151"/>
      <c r="G29" s="196">
        <v>0</v>
      </c>
      <c r="H29" s="172"/>
      <c r="I29" s="10"/>
    </row>
    <row r="30" spans="2:14" ht="19.8">
      <c r="B30" s="5"/>
      <c r="C30" s="193"/>
      <c r="D30" s="171"/>
      <c r="E30" s="195" t="s">
        <v>54</v>
      </c>
      <c r="F30" s="197"/>
      <c r="G30" s="196">
        <v>0</v>
      </c>
      <c r="H30" s="172"/>
      <c r="I30" s="10"/>
    </row>
    <row r="31" spans="2:14" ht="19.8">
      <c r="B31" s="5"/>
      <c r="C31" s="193"/>
      <c r="D31" s="171"/>
      <c r="E31" s="195" t="s">
        <v>67</v>
      </c>
      <c r="F31" s="197"/>
      <c r="G31" s="196">
        <v>0</v>
      </c>
      <c r="H31" s="172"/>
      <c r="I31" s="10"/>
      <c r="N31" s="110"/>
    </row>
    <row r="32" spans="2:14" ht="19.8">
      <c r="B32" s="5"/>
      <c r="C32" s="193"/>
      <c r="D32" s="171"/>
      <c r="E32" s="195" t="s">
        <v>68</v>
      </c>
      <c r="F32" s="197"/>
      <c r="G32" s="196">
        <v>0</v>
      </c>
      <c r="H32" s="172"/>
      <c r="I32" s="10"/>
    </row>
    <row r="33" spans="2:14" ht="20.399999999999999">
      <c r="B33" s="5"/>
      <c r="C33" s="193"/>
      <c r="D33" s="171"/>
      <c r="E33" s="195" t="s">
        <v>75</v>
      </c>
      <c r="F33" s="166"/>
      <c r="G33" s="198">
        <v>64054.080000000002</v>
      </c>
      <c r="H33" s="172"/>
      <c r="I33" s="10"/>
      <c r="N33" s="110"/>
    </row>
    <row r="34" spans="2:14" ht="20.399999999999999">
      <c r="B34" s="5"/>
      <c r="C34" s="193"/>
      <c r="D34" s="171"/>
      <c r="E34" s="199" t="s">
        <v>81</v>
      </c>
      <c r="F34" s="166"/>
      <c r="G34" s="198">
        <v>17100564.350000001</v>
      </c>
      <c r="H34" s="172"/>
      <c r="I34" s="10"/>
    </row>
    <row r="35" spans="2:14" ht="18.600000000000001">
      <c r="B35" s="5"/>
      <c r="C35" s="167"/>
      <c r="D35" s="168"/>
      <c r="E35" s="168"/>
      <c r="F35" s="168"/>
      <c r="G35" s="175">
        <v>0</v>
      </c>
      <c r="H35" s="172"/>
      <c r="I35" s="10"/>
      <c r="N35" s="110"/>
    </row>
    <row r="36" spans="2:14" ht="21">
      <c r="B36" s="5"/>
      <c r="C36" s="167"/>
      <c r="D36" s="168"/>
      <c r="E36" s="200" t="s">
        <v>25</v>
      </c>
      <c r="F36" s="201"/>
      <c r="G36" s="144">
        <f>G28-SUM(G29:G35)</f>
        <v>0</v>
      </c>
      <c r="H36" s="172"/>
      <c r="I36" s="10"/>
    </row>
    <row r="37" spans="2:14" ht="18.600000000000001">
      <c r="B37" s="5"/>
      <c r="C37" s="80"/>
      <c r="D37" s="48"/>
      <c r="E37" s="48"/>
      <c r="F37" s="48"/>
      <c r="G37" s="48"/>
      <c r="H37" s="81"/>
      <c r="I37" s="10"/>
    </row>
    <row r="38" spans="2:14" ht="19.8">
      <c r="B38" s="5"/>
      <c r="C38" s="277" t="s">
        <v>26</v>
      </c>
      <c r="D38" s="278"/>
      <c r="E38" s="278"/>
      <c r="F38" s="53"/>
      <c r="G38" s="202">
        <f>G24+G28</f>
        <v>66975064.350000001</v>
      </c>
      <c r="H38" s="203">
        <f>H10-G38</f>
        <v>686155528.70500004</v>
      </c>
      <c r="I38" s="10"/>
    </row>
    <row r="39" spans="2:14" ht="19.8">
      <c r="B39" s="5"/>
      <c r="C39" s="204" t="s">
        <v>27</v>
      </c>
      <c r="D39" s="205"/>
      <c r="E39" s="206"/>
      <c r="F39" s="98"/>
      <c r="G39" s="98"/>
      <c r="H39" s="190"/>
      <c r="I39" s="10"/>
    </row>
    <row r="40" spans="2:14" ht="21">
      <c r="B40" s="5"/>
      <c r="C40" s="207" t="s">
        <v>28</v>
      </c>
      <c r="D40" s="208" t="s">
        <v>1</v>
      </c>
      <c r="E40" s="90">
        <f>G36</f>
        <v>0</v>
      </c>
      <c r="F40" s="98"/>
      <c r="G40" s="98"/>
      <c r="H40" s="190"/>
      <c r="I40" s="10"/>
    </row>
    <row r="41" spans="2:14" ht="19.8">
      <c r="B41" s="5"/>
      <c r="C41" s="207" t="s">
        <v>29</v>
      </c>
      <c r="D41" s="208" t="s">
        <v>1</v>
      </c>
      <c r="E41" s="209" t="s">
        <v>30</v>
      </c>
      <c r="F41" s="98"/>
      <c r="G41" s="98"/>
      <c r="H41" s="190"/>
      <c r="I41" s="10"/>
    </row>
    <row r="42" spans="2:14" ht="19.8">
      <c r="B42" s="5"/>
      <c r="C42" s="210" t="s">
        <v>31</v>
      </c>
      <c r="D42" s="211" t="s">
        <v>1</v>
      </c>
      <c r="E42" s="212" t="s">
        <v>32</v>
      </c>
      <c r="F42" s="96"/>
      <c r="G42" s="275" t="s">
        <v>50</v>
      </c>
      <c r="H42" s="276"/>
      <c r="I42" s="10"/>
    </row>
    <row r="43" spans="2:14" ht="6" customHeight="1">
      <c r="B43" s="95"/>
      <c r="C43" s="96"/>
      <c r="D43" s="96"/>
      <c r="E43" s="96"/>
      <c r="F43" s="97"/>
      <c r="G43" s="97"/>
      <c r="H43" s="97"/>
      <c r="I43" s="97"/>
    </row>
    <row r="44" spans="2:14" ht="18.600000000000001">
      <c r="C44" s="98"/>
      <c r="D44" s="98"/>
      <c r="E44" s="98"/>
      <c r="F44" s="98"/>
      <c r="G44" s="98"/>
      <c r="H44" s="98"/>
    </row>
    <row r="45" spans="2:14" ht="19.8">
      <c r="C45" s="99" t="s">
        <v>34</v>
      </c>
      <c r="D45" s="100"/>
      <c r="E45" s="101"/>
      <c r="F45" s="102"/>
      <c r="G45" s="102"/>
      <c r="H45" s="98"/>
    </row>
    <row r="46" spans="2:14" ht="19.8">
      <c r="C46" s="99"/>
      <c r="D46" s="100"/>
      <c r="E46" s="101"/>
      <c r="F46" s="103" t="s">
        <v>35</v>
      </c>
      <c r="G46" s="104">
        <v>15000000</v>
      </c>
      <c r="H46" s="98"/>
    </row>
    <row r="47" spans="2:14" ht="19.8">
      <c r="C47" s="99" t="s">
        <v>36</v>
      </c>
      <c r="D47" s="100"/>
      <c r="E47" s="101">
        <v>75313059305.5</v>
      </c>
      <c r="F47" s="105" t="s">
        <v>37</v>
      </c>
      <c r="G47" s="106"/>
      <c r="H47" s="98"/>
    </row>
    <row r="48" spans="2:14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  <c r="H48" s="98"/>
    </row>
    <row r="49" spans="3:8" ht="18.600000000000001">
      <c r="C49" s="98"/>
      <c r="D49" s="98"/>
      <c r="E49" s="98"/>
      <c r="F49" s="98"/>
      <c r="G49" s="98"/>
      <c r="H49" s="98"/>
    </row>
    <row r="50" spans="3:8" ht="18.600000000000001">
      <c r="C50" s="98"/>
      <c r="D50" s="98"/>
      <c r="E50" s="98"/>
      <c r="F50" s="98"/>
      <c r="G50" s="98"/>
      <c r="H50" s="98"/>
    </row>
  </sheetData>
  <mergeCells count="12">
    <mergeCell ref="C38:E38"/>
    <mergeCell ref="G42:H42"/>
    <mergeCell ref="C11:E11"/>
    <mergeCell ref="D12:E12"/>
    <mergeCell ref="D13:E13"/>
    <mergeCell ref="C14:E14"/>
    <mergeCell ref="C26:E26"/>
    <mergeCell ref="F4:G4"/>
    <mergeCell ref="F5:G5"/>
    <mergeCell ref="F6:G6"/>
    <mergeCell ref="F7:G7"/>
    <mergeCell ref="C9:E9"/>
  </mergeCells>
  <pageMargins left="3.9370078740157501E-2" right="3.9370078740157501E-2" top="3.9370078740157501E-2" bottom="3.9370078740157501E-2" header="3.9370078740157501E-2" footer="3.9370078740157501E-2"/>
  <pageSetup paperSize="9" scale="55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5">
    <comment s:ref="G60" rgbClr="2F99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39</vt:i4>
      </vt:variant>
    </vt:vector>
  </HeadingPairs>
  <TitlesOfParts>
    <vt:vector size="90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LK.49</vt:lpstr>
      <vt:lpstr>LK.50</vt:lpstr>
      <vt:lpstr>LK.51</vt:lpstr>
      <vt:lpstr>LK.13!Print_Area</vt:lpstr>
      <vt:lpstr>LK.14!Print_Area</vt:lpstr>
      <vt:lpstr>LK.15!Print_Area</vt:lpstr>
      <vt:lpstr>LK.16!Print_Area</vt:lpstr>
      <vt:lpstr>LK.17!Print_Area</vt:lpstr>
      <vt:lpstr>LK.18!Print_Area</vt:lpstr>
      <vt:lpstr>LK.19!Print_Area</vt:lpstr>
      <vt:lpstr>LK.20!Print_Area</vt:lpstr>
      <vt:lpstr>LK.21!Print_Area</vt:lpstr>
      <vt:lpstr>LK.22!Print_Area</vt:lpstr>
      <vt:lpstr>LK.23!Print_Area</vt:lpstr>
      <vt:lpstr>LK.24!Print_Area</vt:lpstr>
      <vt:lpstr>LK.25!Print_Area</vt:lpstr>
      <vt:lpstr>LK.26!Print_Area</vt:lpstr>
      <vt:lpstr>LK.27!Print_Area</vt:lpstr>
      <vt:lpstr>LK.28!Print_Area</vt:lpstr>
      <vt:lpstr>LK.29!Print_Area</vt:lpstr>
      <vt:lpstr>LK.30!Print_Area</vt:lpstr>
      <vt:lpstr>LK.31!Print_Area</vt:lpstr>
      <vt:lpstr>LK.32!Print_Area</vt:lpstr>
      <vt:lpstr>LK.33!Print_Area</vt:lpstr>
      <vt:lpstr>LK.34!Print_Area</vt:lpstr>
      <vt:lpstr>LK.35!Print_Area</vt:lpstr>
      <vt:lpstr>LK.36!Print_Area</vt:lpstr>
      <vt:lpstr>LK.37!Print_Area</vt:lpstr>
      <vt:lpstr>LK.38!Print_Area</vt:lpstr>
      <vt:lpstr>LK.39!Print_Area</vt:lpstr>
      <vt:lpstr>LK.40!Print_Area</vt:lpstr>
      <vt:lpstr>LK.41!Print_Area</vt:lpstr>
      <vt:lpstr>LK.42!Print_Area</vt:lpstr>
      <vt:lpstr>LK.43!Print_Area</vt:lpstr>
      <vt:lpstr>LK.44!Print_Area</vt:lpstr>
      <vt:lpstr>LK.45!Print_Area</vt:lpstr>
      <vt:lpstr>LK.46!Print_Area</vt:lpstr>
      <vt:lpstr>LK.47!Print_Area</vt:lpstr>
      <vt:lpstr>LK.48!Print_Area</vt:lpstr>
      <vt:lpstr>LK.49!Print_Area</vt:lpstr>
      <vt:lpstr>LK.50!Print_Area</vt:lpstr>
      <vt:lpstr>LK.51!Print_Area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2024-01-04T04:26:24Z</cp:lastPrinted>
  <dcterms:created xsi:type="dcterms:W3CDTF">2022-10-10T04:50:00Z</dcterms:created>
  <dcterms:modified xsi:type="dcterms:W3CDTF">2024-01-04T04:39:52Z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E255E69926544A488FB5E6BE69AEBA8A</vt:lpwstr>
  </property>
  <property fmtid="{D5CDD505-2E9C-101B-9397-08002B2CF9AE}" pid="3" name="KSOProductBuildVer">
    <vt:lpwstr>1033-11.2.0.11516</vt:lpwstr>
  </property>
</Properties>
</file>