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WORK\ssi\Rekap LK\SSI-I.23.001 PCC Adaro\"/>
    </mc:Choice>
  </mc:AlternateContent>
  <xr:revisionPtr revIDLastSave="0" documentId="13_ncr:1_{BBCDA54F-2FF7-4931-9FBA-56A439523A85}" xr6:coauthVersionLast="47" xr6:coauthVersionMax="47" xr10:uidLastSave="{00000000-0000-0000-0000-000000000000}"/>
  <bookViews>
    <workbookView xWindow="-108" yWindow="-108" windowWidth="23256" windowHeight="12576" firstSheet="5" activeTab="16" xr2:uid="{00000000-000D-0000-FFFF-FFFF00000000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8" l="1"/>
  <c r="G28" i="48"/>
  <c r="L18" i="48"/>
  <c r="F18" i="48"/>
  <c r="E45" i="48"/>
  <c r="F33" i="48"/>
  <c r="E37" i="48" s="1"/>
  <c r="L33" i="48"/>
  <c r="F16" i="48"/>
  <c r="F14" i="48"/>
  <c r="F12" i="48"/>
  <c r="G4" i="48"/>
  <c r="G29" i="47"/>
  <c r="G28" i="47"/>
  <c r="L18" i="47"/>
  <c r="F18" i="47"/>
  <c r="E45" i="47"/>
  <c r="L33" i="47"/>
  <c r="F33" i="47"/>
  <c r="E37" i="47" s="1"/>
  <c r="F16" i="47"/>
  <c r="F14" i="47"/>
  <c r="F12" i="47"/>
  <c r="G4" i="47"/>
  <c r="E45" i="46"/>
  <c r="E37" i="46"/>
  <c r="L33" i="46"/>
  <c r="F33" i="46"/>
  <c r="G28" i="46"/>
  <c r="G27" i="46"/>
  <c r="L18" i="46"/>
  <c r="F18" i="46"/>
  <c r="F21" i="46" s="1"/>
  <c r="F35" i="46" s="1"/>
  <c r="G5" i="46" s="1"/>
  <c r="F16" i="46"/>
  <c r="F14" i="46"/>
  <c r="F12" i="46"/>
  <c r="G4" i="46"/>
  <c r="E45" i="45"/>
  <c r="G4" i="45" s="1"/>
  <c r="L33" i="45"/>
  <c r="F33" i="45"/>
  <c r="E37" i="45" s="1"/>
  <c r="G27" i="45"/>
  <c r="L18" i="45"/>
  <c r="F18" i="45"/>
  <c r="F16" i="45"/>
  <c r="F14" i="45"/>
  <c r="F12" i="45"/>
  <c r="F21" i="45" s="1"/>
  <c r="F35" i="45" s="1"/>
  <c r="G5" i="45" s="1"/>
  <c r="E43" i="44"/>
  <c r="E35" i="44"/>
  <c r="L31" i="44"/>
  <c r="F31" i="44"/>
  <c r="G27" i="44"/>
  <c r="G26" i="44"/>
  <c r="F16" i="44"/>
  <c r="F14" i="44"/>
  <c r="F12" i="44"/>
  <c r="F19" i="44" s="1"/>
  <c r="F33" i="44" s="1"/>
  <c r="G5" i="44" s="1"/>
  <c r="G6" i="44" s="1"/>
  <c r="G7" i="44" s="1"/>
  <c r="G4" i="44"/>
  <c r="G19" i="44" s="1"/>
  <c r="E43" i="43"/>
  <c r="G4" i="43" s="1"/>
  <c r="L31" i="43"/>
  <c r="F31" i="43"/>
  <c r="E35" i="43" s="1"/>
  <c r="G27" i="43"/>
  <c r="G26" i="43"/>
  <c r="G25" i="43"/>
  <c r="F16" i="43"/>
  <c r="F14" i="43"/>
  <c r="F12" i="43"/>
  <c r="F19" i="43" s="1"/>
  <c r="F33" i="43" s="1"/>
  <c r="G5" i="43" s="1"/>
  <c r="E44" i="42"/>
  <c r="E36" i="42"/>
  <c r="F32" i="42"/>
  <c r="G28" i="42"/>
  <c r="L32" i="42" s="1"/>
  <c r="G27" i="42"/>
  <c r="F19" i="42"/>
  <c r="F34" i="42" s="1"/>
  <c r="G5" i="42" s="1"/>
  <c r="G6" i="42" s="1"/>
  <c r="G7" i="42" s="1"/>
  <c r="F16" i="42"/>
  <c r="F14" i="42"/>
  <c r="F12" i="42"/>
  <c r="G4" i="42"/>
  <c r="E42" i="41"/>
  <c r="G4" i="41" s="1"/>
  <c r="F30" i="41"/>
  <c r="E34" i="41" s="1"/>
  <c r="G26" i="41"/>
  <c r="L30" i="41" s="1"/>
  <c r="F19" i="41"/>
  <c r="F32" i="41" s="1"/>
  <c r="G5" i="41" s="1"/>
  <c r="F16" i="41"/>
  <c r="F14" i="41"/>
  <c r="F12" i="41"/>
  <c r="E40" i="40"/>
  <c r="G4" i="40" s="1"/>
  <c r="L28" i="40"/>
  <c r="F28" i="40"/>
  <c r="E32" i="40" s="1"/>
  <c r="G23" i="40"/>
  <c r="F17" i="40"/>
  <c r="F30" i="40" s="1"/>
  <c r="G5" i="40" s="1"/>
  <c r="F14" i="40"/>
  <c r="F12" i="40"/>
  <c r="E40" i="39"/>
  <c r="G4" i="39" s="1"/>
  <c r="E32" i="39"/>
  <c r="F28" i="39"/>
  <c r="G24" i="39"/>
  <c r="L28" i="39" s="1"/>
  <c r="L15" i="39"/>
  <c r="F14" i="39"/>
  <c r="F12" i="39"/>
  <c r="F17" i="39" s="1"/>
  <c r="F30" i="39" s="1"/>
  <c r="G5" i="39" s="1"/>
  <c r="E40" i="38"/>
  <c r="E32" i="38"/>
  <c r="F28" i="38"/>
  <c r="G24" i="38"/>
  <c r="L28" i="38" s="1"/>
  <c r="G23" i="38"/>
  <c r="F17" i="38"/>
  <c r="F30" i="38" s="1"/>
  <c r="G5" i="38" s="1"/>
  <c r="L15" i="38"/>
  <c r="F14" i="38"/>
  <c r="F12" i="38"/>
  <c r="G4" i="38"/>
  <c r="E40" i="37"/>
  <c r="G4" i="37" s="1"/>
  <c r="L28" i="37"/>
  <c r="F28" i="37"/>
  <c r="E32" i="37" s="1"/>
  <c r="G24" i="37"/>
  <c r="F17" i="37"/>
  <c r="F30" i="37" s="1"/>
  <c r="G5" i="37" s="1"/>
  <c r="L15" i="37"/>
  <c r="F14" i="37"/>
  <c r="F12" i="37"/>
  <c r="E40" i="36"/>
  <c r="G4" i="36" s="1"/>
  <c r="F28" i="36"/>
  <c r="E32" i="36" s="1"/>
  <c r="G24" i="36"/>
  <c r="L28" i="36" s="1"/>
  <c r="F17" i="36"/>
  <c r="F30" i="36" s="1"/>
  <c r="G5" i="36" s="1"/>
  <c r="L15" i="36"/>
  <c r="F12" i="36"/>
  <c r="E40" i="35"/>
  <c r="G4" i="35" s="1"/>
  <c r="E32" i="35"/>
  <c r="F28" i="35"/>
  <c r="G24" i="35"/>
  <c r="L28" i="35" s="1"/>
  <c r="L22" i="35"/>
  <c r="F17" i="35"/>
  <c r="F30" i="35" s="1"/>
  <c r="G5" i="35" s="1"/>
  <c r="L15" i="35"/>
  <c r="F12" i="35"/>
  <c r="E40" i="34"/>
  <c r="G4" i="34" s="1"/>
  <c r="E32" i="34"/>
  <c r="F28" i="34"/>
  <c r="G24" i="34"/>
  <c r="L28" i="34" s="1"/>
  <c r="L22" i="34"/>
  <c r="F17" i="34"/>
  <c r="F30" i="34" s="1"/>
  <c r="G5" i="34" s="1"/>
  <c r="L15" i="34"/>
  <c r="F12" i="34"/>
  <c r="E40" i="33"/>
  <c r="G4" i="33" s="1"/>
  <c r="E32" i="33"/>
  <c r="F28" i="33"/>
  <c r="G24" i="33"/>
  <c r="L28" i="33" s="1"/>
  <c r="L22" i="33"/>
  <c r="F17" i="33"/>
  <c r="F30" i="33" s="1"/>
  <c r="G5" i="33" s="1"/>
  <c r="L15" i="33"/>
  <c r="F12" i="33"/>
  <c r="E39" i="32"/>
  <c r="G4" i="32" s="1"/>
  <c r="E31" i="32"/>
  <c r="F27" i="32"/>
  <c r="G23" i="32"/>
  <c r="L27" i="32" s="1"/>
  <c r="L22" i="32"/>
  <c r="F17" i="32"/>
  <c r="F29" i="32" s="1"/>
  <c r="G5" i="32" s="1"/>
  <c r="L15" i="32"/>
  <c r="F21" i="48" l="1"/>
  <c r="F35" i="48" s="1"/>
  <c r="G35" i="48" s="1"/>
  <c r="G21" i="48"/>
  <c r="F21" i="47"/>
  <c r="F35" i="47" s="1"/>
  <c r="G5" i="47" s="1"/>
  <c r="G6" i="47"/>
  <c r="G7" i="47" s="1"/>
  <c r="G29" i="32"/>
  <c r="G6" i="32"/>
  <c r="G7" i="32" s="1"/>
  <c r="G17" i="32"/>
  <c r="G30" i="34"/>
  <c r="G6" i="34"/>
  <c r="G7" i="34" s="1"/>
  <c r="G17" i="34"/>
  <c r="G21" i="45"/>
  <c r="G6" i="45"/>
  <c r="G7" i="45" s="1"/>
  <c r="G35" i="45"/>
  <c r="G30" i="33"/>
  <c r="G6" i="33"/>
  <c r="G7" i="33" s="1"/>
  <c r="G17" i="33"/>
  <c r="G21" i="46"/>
  <c r="G33" i="43"/>
  <c r="G6" i="43"/>
  <c r="G7" i="43" s="1"/>
  <c r="G19" i="43"/>
  <c r="G32" i="41"/>
  <c r="G6" i="41"/>
  <c r="G7" i="41" s="1"/>
  <c r="G19" i="41"/>
  <c r="G30" i="36"/>
  <c r="G17" i="36"/>
  <c r="G6" i="36"/>
  <c r="G7" i="36" s="1"/>
  <c r="G30" i="37"/>
  <c r="G6" i="37"/>
  <c r="G7" i="37" s="1"/>
  <c r="G17" i="37"/>
  <c r="G30" i="40"/>
  <c r="G6" i="40"/>
  <c r="G7" i="40" s="1"/>
  <c r="G17" i="40"/>
  <c r="G34" i="42"/>
  <c r="G30" i="35"/>
  <c r="G6" i="35"/>
  <c r="G7" i="35" s="1"/>
  <c r="G17" i="35"/>
  <c r="G30" i="38"/>
  <c r="G30" i="39"/>
  <c r="G6" i="39"/>
  <c r="G7" i="39" s="1"/>
  <c r="G17" i="39"/>
  <c r="G19" i="42"/>
  <c r="G33" i="44"/>
  <c r="G17" i="38"/>
  <c r="G6" i="38"/>
  <c r="G7" i="38" s="1"/>
  <c r="G35" i="46"/>
  <c r="G6" i="46"/>
  <c r="G7" i="46" s="1"/>
  <c r="G5" i="48" l="1"/>
  <c r="G6" i="48" s="1"/>
  <c r="G7" i="48" s="1"/>
  <c r="G35" i="47"/>
  <c r="G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7C624BE0-CD84-4147-AB88-3FFA1313B40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E1A812D1-6769-42DA-A07D-A22D152BEE1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<sst xmlns="http://schemas.openxmlformats.org/spreadsheetml/2006/main" count="921" uniqueCount="175">
  <si>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</si>
  <si>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</si>
  <si>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</si>
  <si>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</si>
  <si>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</si>
  <si>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</si>
  <si>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</si>
  <si>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</si>
  <si>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</si>
  <si>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</si>
  <si>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</si>
  <si>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</si>
  <si>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</si>
  <si>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</si>
  <si>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</si>
  <si>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</si>
  <si>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</si>
  <si>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</si>
  <si>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</si>
  <si>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</si>
  <si>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</si>
  <si>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</si>
  <si>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</si>
  <si>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</si>
  <si>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</si>
  <si>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</si>
  <si>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</si>
  <si>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</si>
  <si>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</si>
  <si>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</si>
  <si>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</si>
  <si>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</si>
  <si>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</si>
  <si>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</si>
  <si>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</si>
  <si>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</si>
  <si>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</si>
  <si>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</si>
  <si>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</si>
  <si>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</si>
  <si>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</si>
  <si>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</si>
  <si>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</si>
  <si>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</si>
  <si>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</si>
  <si>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</si>
  <si>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</si>
  <si>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</si>
  <si>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</si>
  <si>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</si>
  <si>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</si>
  <si>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</si>
  <si>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</si>
  <si>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</si>
  <si>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</si>
  <si>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</si>
  <si>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</si>
  <si>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</si>
  <si>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</si>
  <si>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</si>
  <si>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</si>
  <si>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</si>
  <si>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</si>
  <si>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</si>
  <si>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</si>
  <si>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</si>
  <si>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</si>
  <si>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</si>
  <si>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</si>
  <si>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</si>
  <si>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</si>
  <si>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</si>
  <si>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</si>
  <si>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</si>
  <si>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</si>
  <si>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</si>
  <si>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</si>
  <si>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</si>
  <si>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</si>
  <si>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</si>
  <si>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</si>
  <si>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</si>
  <si>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</si>
  <si>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</si>
  <si>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</si>
  <si>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</si>
  <si>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</si>
  <si>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</si>
  <si>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</si>
  <si>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</si>
  <si>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</si>
  <si>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</si>
  <si>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</si>
  <si>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</si>
  <si>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</si>
  <si>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</si>
  <si>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</si>
  <si>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</si>
  <si>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</si>
  <si>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</si>
  <si>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</si>
  <si>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</si>
  <si>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</si>
  <si>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</si>
  <si>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</si>
  <si>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</si>
  <si>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</si>
  <si>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</si>
  <si>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</si>
  <si>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</si>
  <si>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</si>
  <si>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</si>
  <si>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</si>
  <si>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</si>
  <si>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</si>
  <si>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</si>
  <si>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</si>
  <si>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</si>
  <si>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</si>
  <si>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</si>
  <si>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</si>
  <si>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</si>
  <si>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</si>
  <si>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</si>
  <si>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</si>
  <si>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</si>
  <si>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</si>
  <si>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</si>
  <si>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</si>
  <si>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</si>
  <si>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</si>
  <si>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</si>
  <si>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</si>
  <si>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</si>
  <si>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</si>
  <si>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</si>
  <si>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</si>
  <si>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</si>
  <si>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</si>
  <si>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</si>
  <si>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</si>
  <si>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</si>
  <si>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</si>
  <si>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</si>
  <si>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</si>
  <si>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</si>
  <si>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</si>
  <si>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</si>
  <si>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</si>
  <si>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</si>
  <si>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</si>
  <si>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</si>
  <si>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</si>
  <si>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</si>
  <si>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</si>
  <si>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</si>
  <si>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</si>
  <si>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</si>
  <si>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</si>
  <si>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</si>
  <si>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family val="4"/>
      </rPr>
      <t>210</t>
    </r>
    <r>
      <rPr>
        <sz val="13"/>
        <rFont val="Comic Sans MS"/>
        <charset val="134"/>
      </rPr>
      <t>.500.000)</t>
    </r>
  </si>
  <si>
    <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</si>
  <si>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</si>
  <si>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t>16 Sep 2023 - 30 Sep 2023</t>
  </si>
  <si>
    <t>16 - LK/2023/XI/003</t>
  </si>
  <si>
    <t>LK.16 - LK/2023/XI/003 - 16 Sep - 30 Sep 2023</t>
  </si>
  <si>
    <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</si>
  <si>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</si>
  <si>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</si>
  <si>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</si>
  <si>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</si>
  <si>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family val="4"/>
      </rPr>
      <t>253</t>
    </r>
    <r>
      <rPr>
        <sz val="13"/>
        <rFont val="Comic Sans MS"/>
        <charset val="134"/>
      </rPr>
      <t>.500.000)</t>
    </r>
  </si>
  <si>
    <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</si>
  <si>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t>LK.17 - LK/2023/XII/005 - 01 Okt - 15 Okt 2023</t>
  </si>
  <si>
    <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</si>
</sst>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30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Times New Roman"/>
      <charset val="134"/>
    </font>
    <font>
      <sz val="13"/>
      <name val="Comic Sans MS"/>
      <family val="4"/>
    </font>
    <font>
      <sz val="13"/>
      <color rgb="FFFF0000"/>
      <name val="Comic Sans MS"/>
      <family val="4"/>
    </font>
    <font>
      <sz val="14"/>
      <name val="Comic Sans MS"/>
      <family val="4"/>
    </font>
    <font>
      <b/>
      <sz val="13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4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7" fillId="0" borderId="15" xfId="0" applyNumberFormat="1" applyFont="1" applyBorder="1"/>
    <xf numFmtId="0" fontId="6" fillId="0" borderId="9" xfId="0" applyFont="1" applyBorder="1"/>
    <xf numFmtId="44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44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64" fontId="10" fillId="0" borderId="19" xfId="2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64" fontId="10" fillId="0" borderId="22" xfId="2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41" fontId="12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43" fontId="7" fillId="0" borderId="22" xfId="0" applyNumberFormat="1" applyFont="1" applyBorder="1"/>
    <xf numFmtId="43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" fontId="1" fillId="0" borderId="0" xfId="0" applyNumberFormat="1" applyFont="1"/>
    <xf numFmtId="44" fontId="1" fillId="0" borderId="0" xfId="0" applyNumberFormat="1" applyFont="1"/>
    <xf numFmtId="2" fontId="1" fillId="0" borderId="0" xfId="0" applyNumberFormat="1" applyFont="1"/>
    <xf numFmtId="4" fontId="28" fillId="0" borderId="0" xfId="0" applyNumberFormat="1" applyFont="1" applyAlignment="1">
      <alignment horizontal="left" vertical="center" wrapText="1"/>
    </xf>
    <xf numFmtId="4" fontId="28" fillId="0" borderId="5" xfId="0" applyNumberFormat="1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3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26" fillId="0" borderId="11" xfId="0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20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41"/>
  <sheetViews>
    <sheetView view="pageBreakPreview" topLeftCell="A13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spans="2:12" ht="21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0.99102439866369707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/>
      <c r="D12" s="112"/>
      <c r="E12" s="112"/>
      <c r="F12" s="29"/>
      <c r="G12" s="30"/>
      <c r="H12" s="10"/>
    </row>
    <row r="13" spans="2:12" ht="20.399999999999999">
      <c r="B13" s="5"/>
      <c r="C13" s="31"/>
      <c r="D13" s="113"/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0</v>
      </c>
      <c r="G17" s="45">
        <f>G4-F17</f>
        <v>898000000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22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2" t="s">
        <v>23</v>
      </c>
      <c r="E23" s="123"/>
      <c r="F23" s="59">
        <v>8060090</v>
      </c>
      <c r="G23" s="59">
        <f>10000000-F23</f>
        <v>1939910</v>
      </c>
      <c r="H23" s="10"/>
      <c r="L23" s="102">
        <v>7133653.25</v>
      </c>
    </row>
    <row r="24" spans="2:12" ht="7.8" customHeight="1">
      <c r="B24" s="5"/>
      <c r="C24" s="60"/>
      <c r="D24" s="61"/>
      <c r="E24" s="62"/>
      <c r="F24" s="63"/>
      <c r="G24" s="64"/>
      <c r="H24" s="10"/>
      <c r="L24" s="102"/>
    </row>
    <row r="25" spans="2:12" ht="19.2" customHeight="1">
      <c r="B25" s="5"/>
      <c r="C25" s="55" t="s">
        <v>18</v>
      </c>
      <c r="D25" s="124" t="s">
        <v>24</v>
      </c>
      <c r="E25" s="119"/>
      <c r="F25" s="56"/>
      <c r="G25" s="65"/>
      <c r="H25" s="10"/>
      <c r="L25" s="102">
        <v>14509106.75</v>
      </c>
    </row>
    <row r="26" spans="2:12" ht="21">
      <c r="B26" s="5"/>
      <c r="C26" s="60">
        <v>44934</v>
      </c>
      <c r="D26" s="125" t="s">
        <v>25</v>
      </c>
      <c r="E26" s="126"/>
      <c r="F26" s="66">
        <v>8060090</v>
      </c>
      <c r="G26" s="67"/>
      <c r="H26" s="10"/>
      <c r="L26" s="102">
        <v>14509106.75</v>
      </c>
    </row>
    <row r="27" spans="2:12" ht="21">
      <c r="B27" s="5"/>
      <c r="C27" s="68"/>
      <c r="D27" s="69"/>
      <c r="E27" s="70" t="s">
        <v>26</v>
      </c>
      <c r="F27" s="71">
        <f>F26-SUM(F22:F23)</f>
        <v>0</v>
      </c>
      <c r="G27" s="72"/>
      <c r="H27" s="10"/>
      <c r="L27" s="103">
        <f>F23+G23+3866346.75</f>
        <v>13866346.75</v>
      </c>
    </row>
    <row r="28" spans="2:12" ht="10.199999999999999" customHeight="1">
      <c r="B28" s="5"/>
      <c r="C28" s="73"/>
      <c r="D28" s="42"/>
      <c r="E28" s="42"/>
      <c r="F28" s="42"/>
      <c r="G28" s="74"/>
      <c r="H28" s="10"/>
    </row>
    <row r="29" spans="2:12" ht="20.399999999999999">
      <c r="B29" s="5"/>
      <c r="C29" s="127" t="s">
        <v>27</v>
      </c>
      <c r="D29" s="128"/>
      <c r="E29" s="128"/>
      <c r="F29" s="75">
        <f>F17+F26</f>
        <v>8060090</v>
      </c>
      <c r="G29" s="76">
        <f>G4-F29</f>
        <v>889939910</v>
      </c>
      <c r="H29" s="10"/>
      <c r="L29" s="104">
        <v>1939910</v>
      </c>
    </row>
    <row r="30" spans="2:12" ht="20.399999999999999">
      <c r="B30" s="5"/>
      <c r="C30" s="77" t="s">
        <v>28</v>
      </c>
      <c r="D30" s="78"/>
      <c r="E30" s="79"/>
      <c r="F30" s="80"/>
      <c r="G30" s="35"/>
      <c r="H30" s="10"/>
    </row>
    <row r="31" spans="2:12" ht="21">
      <c r="B31" s="5"/>
      <c r="C31" s="81" t="s">
        <v>29</v>
      </c>
      <c r="D31" s="82" t="s">
        <v>1</v>
      </c>
      <c r="E31" s="83">
        <f>F27</f>
        <v>0</v>
      </c>
      <c r="F31" s="80"/>
      <c r="G31" s="35"/>
      <c r="H31" s="10"/>
    </row>
    <row r="32" spans="2:12" ht="20.399999999999999">
      <c r="B32" s="5"/>
      <c r="C32" s="81" t="s">
        <v>30</v>
      </c>
      <c r="D32" s="82" t="s">
        <v>1</v>
      </c>
      <c r="E32" s="84" t="s">
        <v>31</v>
      </c>
      <c r="F32" s="80"/>
      <c r="G32" s="35"/>
      <c r="H32" s="10"/>
    </row>
    <row r="33" spans="2:8" ht="20.399999999999999">
      <c r="B33" s="5"/>
      <c r="C33" s="85" t="s">
        <v>32</v>
      </c>
      <c r="D33" s="86" t="s">
        <v>1</v>
      </c>
      <c r="E33" s="87" t="s">
        <v>33</v>
      </c>
      <c r="F33" s="129" t="s">
        <v>34</v>
      </c>
      <c r="G33" s="130"/>
      <c r="H33" s="10"/>
    </row>
    <row r="34" spans="2:8" ht="6" customHeight="1">
      <c r="B34" s="88"/>
      <c r="C34" s="89"/>
      <c r="D34" s="89"/>
      <c r="E34" s="89"/>
      <c r="F34" s="89"/>
      <c r="G34" s="89"/>
      <c r="H34" s="90"/>
    </row>
    <row r="35" spans="2:8" ht="18.600000000000001">
      <c r="C35" s="91"/>
      <c r="D35" s="91"/>
      <c r="E35" s="91"/>
      <c r="F35" s="91"/>
      <c r="G35" s="91"/>
    </row>
    <row r="36" spans="2:8" ht="19.8">
      <c r="C36" s="92" t="s">
        <v>35</v>
      </c>
      <c r="D36" s="93"/>
      <c r="E36" s="94"/>
      <c r="F36" s="95"/>
      <c r="G36" s="91"/>
    </row>
    <row r="37" spans="2:8" ht="19.8">
      <c r="C37" s="92"/>
      <c r="D37" s="93"/>
      <c r="E37" s="94"/>
      <c r="F37" s="96" t="s">
        <v>36</v>
      </c>
      <c r="G37" s="97">
        <v>15000000</v>
      </c>
    </row>
    <row r="38" spans="2:8" ht="19.8">
      <c r="C38" s="92" t="s">
        <v>37</v>
      </c>
      <c r="D38" s="93"/>
      <c r="E38" s="94">
        <v>89800000000</v>
      </c>
      <c r="F38" s="98" t="s">
        <v>38</v>
      </c>
      <c r="G38" s="99"/>
    </row>
    <row r="39" spans="2:8" ht="19.8">
      <c r="C39" s="100">
        <v>0.01</v>
      </c>
      <c r="D39" s="93"/>
      <c r="E39" s="94">
        <f>E38*C39</f>
        <v>898000000</v>
      </c>
      <c r="F39" s="98" t="s">
        <v>39</v>
      </c>
      <c r="G39" s="101"/>
    </row>
    <row r="40" spans="2:8" ht="18.600000000000001">
      <c r="C40" s="91"/>
      <c r="D40" s="91"/>
      <c r="E40" s="91"/>
      <c r="F40" s="91"/>
      <c r="G40" s="91"/>
    </row>
    <row r="41" spans="2:8" ht="18.600000000000001">
      <c r="C41" s="91"/>
      <c r="D41" s="91"/>
      <c r="E41" s="91"/>
      <c r="F41" s="91"/>
      <c r="G41" s="91"/>
    </row>
  </sheetData>
  <mergeCells count="15">
    <mergeCell ref="D23:E23"/>
    <mergeCell ref="D25:E25"/>
    <mergeCell ref="D26:E26"/>
    <mergeCell ref="C29:E29"/>
    <mergeCell ref="F33:G33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L44"/>
  <sheetViews>
    <sheetView view="pageBreakPreview" topLeftCell="A9" zoomScale="85" zoomScaleNormal="85" workbookViewId="0">
      <selection activeCell="I16" sqref="I1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spans="2:8" ht="21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0.86824859910913144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109</v>
      </c>
      <c r="D16" s="115" t="s">
        <v>110</v>
      </c>
      <c r="E16" s="116"/>
      <c r="F16" s="34">
        <f>+LK.09!F27</f>
        <v>14080598</v>
      </c>
      <c r="G16" s="36"/>
      <c r="H16" s="10"/>
    </row>
    <row r="17" spans="2:12" ht="20.399999999999999">
      <c r="B17" s="5"/>
      <c r="C17" s="31"/>
      <c r="D17" s="113" t="s">
        <v>111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97189826</v>
      </c>
      <c r="G19" s="45">
        <f>G4-F19</f>
        <v>800810174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103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45090</v>
      </c>
      <c r="D25" s="122" t="s">
        <v>112</v>
      </c>
      <c r="E25" s="123"/>
      <c r="F25" s="59">
        <v>2810174</v>
      </c>
      <c r="G25" s="59">
        <v>0</v>
      </c>
      <c r="H25" s="10"/>
    </row>
    <row r="26" spans="2:12" ht="19.8">
      <c r="B26" s="5"/>
      <c r="C26" s="60">
        <v>45103</v>
      </c>
      <c r="D26" s="122" t="s">
        <v>113</v>
      </c>
      <c r="E26" s="123"/>
      <c r="F26" s="59">
        <v>18312758</v>
      </c>
      <c r="G26" s="59">
        <f>20000000-F26</f>
        <v>1687242</v>
      </c>
      <c r="H26" s="10"/>
      <c r="L26" s="102">
        <v>8756360</v>
      </c>
    </row>
    <row r="27" spans="2:12" ht="7.8" customHeight="1">
      <c r="B27" s="5"/>
      <c r="C27" s="60"/>
      <c r="D27" s="61"/>
      <c r="E27" s="62"/>
      <c r="F27" s="63"/>
      <c r="G27" s="64"/>
      <c r="H27" s="10"/>
      <c r="L27" s="102"/>
    </row>
    <row r="28" spans="2:12" ht="19.2" customHeight="1">
      <c r="B28" s="5"/>
      <c r="C28" s="55" t="s">
        <v>18</v>
      </c>
      <c r="D28" s="124" t="s">
        <v>24</v>
      </c>
      <c r="E28" s="119"/>
      <c r="F28" s="56"/>
      <c r="G28" s="65"/>
      <c r="H28" s="10"/>
      <c r="L28" s="102">
        <v>14509106.75</v>
      </c>
    </row>
    <row r="29" spans="2:12" ht="21">
      <c r="B29" s="5"/>
      <c r="C29" s="60">
        <v>45133</v>
      </c>
      <c r="D29" s="125" t="s">
        <v>114</v>
      </c>
      <c r="E29" s="126"/>
      <c r="F29" s="66">
        <v>21122932</v>
      </c>
      <c r="G29" s="67"/>
      <c r="H29" s="10"/>
      <c r="L29" s="102">
        <v>16890772</v>
      </c>
    </row>
    <row r="30" spans="2:12" ht="21">
      <c r="B30" s="5"/>
      <c r="C30" s="68"/>
      <c r="D30" s="69"/>
      <c r="E30" s="70" t="s">
        <v>26</v>
      </c>
      <c r="F30" s="71">
        <f>F29-SUM(F24:F26)</f>
        <v>0</v>
      </c>
      <c r="G30" s="72"/>
      <c r="H30" s="10"/>
      <c r="L30" s="103">
        <f>F26+G26+3866346.75</f>
        <v>23866346.75</v>
      </c>
    </row>
    <row r="31" spans="2:12" ht="10.199999999999999" customHeight="1">
      <c r="B31" s="5"/>
      <c r="C31" s="73"/>
      <c r="D31" s="42"/>
      <c r="E31" s="42"/>
      <c r="F31" s="42"/>
      <c r="G31" s="74"/>
      <c r="H31" s="10"/>
    </row>
    <row r="32" spans="2:12" ht="20.399999999999999">
      <c r="B32" s="5"/>
      <c r="C32" s="127" t="s">
        <v>27</v>
      </c>
      <c r="D32" s="128"/>
      <c r="E32" s="128"/>
      <c r="F32" s="75">
        <f>F19+F29</f>
        <v>118312758</v>
      </c>
      <c r="G32" s="76">
        <f>G4-F32</f>
        <v>779687242</v>
      </c>
      <c r="H32" s="10"/>
      <c r="L32" s="59">
        <v>7380255</v>
      </c>
    </row>
    <row r="33" spans="2:12" ht="20.399999999999999">
      <c r="B33" s="5"/>
      <c r="C33" s="77" t="s">
        <v>28</v>
      </c>
      <c r="D33" s="78"/>
      <c r="E33" s="79"/>
      <c r="F33" s="80"/>
      <c r="G33" s="35"/>
      <c r="H33" s="10"/>
    </row>
    <row r="34" spans="2:12" ht="21">
      <c r="B34" s="5"/>
      <c r="C34" s="81" t="s">
        <v>29</v>
      </c>
      <c r="D34" s="82" t="s">
        <v>1</v>
      </c>
      <c r="E34" s="83">
        <f>F30</f>
        <v>0</v>
      </c>
      <c r="F34" s="80"/>
      <c r="G34" s="35"/>
      <c r="H34" s="10"/>
      <c r="L34" s="1">
        <v>6582910</v>
      </c>
    </row>
    <row r="35" spans="2:12" ht="20.399999999999999">
      <c r="B35" s="5"/>
      <c r="C35" s="81" t="s">
        <v>30</v>
      </c>
      <c r="D35" s="82" t="s">
        <v>1</v>
      </c>
      <c r="E35" s="84" t="s">
        <v>31</v>
      </c>
      <c r="F35" s="80"/>
      <c r="G35" s="35"/>
      <c r="H35" s="10"/>
    </row>
    <row r="36" spans="2:12" ht="20.399999999999999">
      <c r="B36" s="5"/>
      <c r="C36" s="85" t="s">
        <v>32</v>
      </c>
      <c r="D36" s="86" t="s">
        <v>1</v>
      </c>
      <c r="E36" s="87" t="s">
        <v>33</v>
      </c>
      <c r="F36" s="129" t="s">
        <v>34</v>
      </c>
      <c r="G36" s="130"/>
      <c r="H36" s="10"/>
    </row>
    <row r="37" spans="2:12" ht="6" customHeight="1">
      <c r="B37" s="88"/>
      <c r="C37" s="89"/>
      <c r="D37" s="89"/>
      <c r="E37" s="89"/>
      <c r="F37" s="89"/>
      <c r="G37" s="89"/>
      <c r="H37" s="90"/>
    </row>
    <row r="38" spans="2:12" ht="18.600000000000001">
      <c r="C38" s="91"/>
      <c r="D38" s="91"/>
      <c r="E38" s="91"/>
      <c r="F38" s="91"/>
      <c r="G38" s="91"/>
    </row>
    <row r="39" spans="2:12" ht="19.8">
      <c r="C39" s="92" t="s">
        <v>35</v>
      </c>
      <c r="D39" s="93"/>
      <c r="E39" s="94"/>
      <c r="F39" s="95"/>
      <c r="G39" s="91"/>
    </row>
    <row r="40" spans="2:12" ht="19.8">
      <c r="C40" s="92"/>
      <c r="D40" s="93"/>
      <c r="E40" s="94"/>
      <c r="F40" s="96" t="s">
        <v>36</v>
      </c>
      <c r="G40" s="97">
        <v>15000000</v>
      </c>
    </row>
    <row r="41" spans="2:12" ht="19.8">
      <c r="C41" s="92" t="s">
        <v>37</v>
      </c>
      <c r="D41" s="93"/>
      <c r="E41" s="94">
        <v>89800000000</v>
      </c>
      <c r="F41" s="98" t="s">
        <v>38</v>
      </c>
      <c r="G41" s="99"/>
    </row>
    <row r="42" spans="2:12" ht="19.8">
      <c r="C42" s="100">
        <v>0.01</v>
      </c>
      <c r="D42" s="93"/>
      <c r="E42" s="94">
        <f>E41*C42</f>
        <v>898000000</v>
      </c>
      <c r="F42" s="98" t="s">
        <v>39</v>
      </c>
      <c r="G42" s="101"/>
    </row>
    <row r="43" spans="2:12" ht="18.600000000000001">
      <c r="C43" s="91"/>
      <c r="D43" s="91"/>
      <c r="E43" s="91"/>
      <c r="F43" s="91"/>
      <c r="G43" s="91"/>
    </row>
    <row r="44" spans="2:12" ht="18.600000000000001">
      <c r="C44" s="91"/>
      <c r="D44" s="91"/>
      <c r="E44" s="91"/>
      <c r="F44" s="91"/>
      <c r="G44" s="91"/>
    </row>
  </sheetData>
  <mergeCells count="18">
    <mergeCell ref="D29:E29"/>
    <mergeCell ref="C32:E32"/>
    <mergeCell ref="F36:G36"/>
    <mergeCell ref="D23:E23"/>
    <mergeCell ref="D24:E24"/>
    <mergeCell ref="D25:E25"/>
    <mergeCell ref="D26:E26"/>
    <mergeCell ref="D28:E28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L46"/>
  <sheetViews>
    <sheetView view="pageBreakPreview" topLeftCell="A10" zoomScale="85" zoomScaleNormal="85" workbookViewId="0">
      <selection activeCell="F29" sqref="F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0.8393440545657016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117</v>
      </c>
      <c r="D16" s="115" t="s">
        <v>118</v>
      </c>
      <c r="E16" s="116"/>
      <c r="F16" s="34">
        <f>+LK.09!F27+LK.10!F29</f>
        <v>35203530</v>
      </c>
      <c r="G16" s="36"/>
      <c r="H16" s="10"/>
    </row>
    <row r="17" spans="2:12" ht="20.399999999999999">
      <c r="B17" s="5"/>
      <c r="C17" s="31"/>
      <c r="D17" s="113" t="s">
        <v>119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118312758</v>
      </c>
      <c r="G19" s="45">
        <f>G4-F19</f>
        <v>779687242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120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45103</v>
      </c>
      <c r="D25" s="122" t="s">
        <v>121</v>
      </c>
      <c r="E25" s="123"/>
      <c r="F25" s="59">
        <v>1687242</v>
      </c>
      <c r="G25" s="59">
        <v>0</v>
      </c>
      <c r="H25" s="10"/>
    </row>
    <row r="26" spans="2:12" ht="19.8" customHeight="1">
      <c r="B26" s="5"/>
      <c r="C26" s="60">
        <v>45128</v>
      </c>
      <c r="D26" s="122" t="s">
        <v>122</v>
      </c>
      <c r="E26" s="123"/>
      <c r="F26" s="59">
        <v>6000000</v>
      </c>
      <c r="G26" s="59">
        <v>0</v>
      </c>
      <c r="H26" s="10"/>
    </row>
    <row r="27" spans="2:12" ht="19.8" customHeight="1">
      <c r="B27" s="5"/>
      <c r="C27" s="60">
        <v>45145</v>
      </c>
      <c r="D27" s="122" t="s">
        <v>123</v>
      </c>
      <c r="E27" s="123"/>
      <c r="F27" s="59">
        <v>17000000</v>
      </c>
      <c r="G27" s="59">
        <f>17000000-F27</f>
        <v>0</v>
      </c>
      <c r="H27" s="10"/>
    </row>
    <row r="28" spans="2:12" ht="19.8">
      <c r="B28" s="5"/>
      <c r="C28" s="60">
        <v>44972</v>
      </c>
      <c r="D28" s="122" t="s">
        <v>124</v>
      </c>
      <c r="E28" s="123"/>
      <c r="F28" s="59">
        <v>1269039</v>
      </c>
      <c r="G28" s="59">
        <f>2500000-F28</f>
        <v>1230961</v>
      </c>
      <c r="H28" s="10"/>
      <c r="L28" s="102">
        <v>8756360</v>
      </c>
    </row>
    <row r="29" spans="2:12" ht="7.8" customHeight="1">
      <c r="B29" s="5"/>
      <c r="C29" s="60"/>
      <c r="D29" s="61"/>
      <c r="E29" s="62"/>
      <c r="F29" s="63"/>
      <c r="G29" s="64"/>
      <c r="H29" s="10"/>
      <c r="L29" s="102"/>
    </row>
    <row r="30" spans="2:12" ht="19.2" customHeight="1">
      <c r="B30" s="5"/>
      <c r="C30" s="55" t="s">
        <v>18</v>
      </c>
      <c r="D30" s="124" t="s">
        <v>24</v>
      </c>
      <c r="E30" s="119"/>
      <c r="F30" s="56"/>
      <c r="G30" s="65"/>
      <c r="H30" s="10"/>
      <c r="L30" s="102">
        <v>14509106.75</v>
      </c>
    </row>
    <row r="31" spans="2:12" ht="21">
      <c r="B31" s="5"/>
      <c r="C31" s="60">
        <v>45153</v>
      </c>
      <c r="D31" s="125" t="s">
        <v>125</v>
      </c>
      <c r="E31" s="126"/>
      <c r="F31" s="66">
        <v>25956281</v>
      </c>
      <c r="G31" s="67"/>
      <c r="H31" s="10"/>
      <c r="L31" s="102">
        <v>16890772</v>
      </c>
    </row>
    <row r="32" spans="2:12" ht="21">
      <c r="B32" s="5"/>
      <c r="C32" s="68"/>
      <c r="D32" s="69"/>
      <c r="E32" s="70" t="s">
        <v>26</v>
      </c>
      <c r="F32" s="71">
        <f>F31-SUM(F24:F28)</f>
        <v>0</v>
      </c>
      <c r="G32" s="72"/>
      <c r="H32" s="10"/>
      <c r="L32" s="103">
        <f>F28+G28+3866346.75</f>
        <v>6366346.75</v>
      </c>
    </row>
    <row r="33" spans="2:12" ht="10.199999999999999" customHeight="1">
      <c r="B33" s="5"/>
      <c r="C33" s="73"/>
      <c r="D33" s="42"/>
      <c r="E33" s="42"/>
      <c r="F33" s="42"/>
      <c r="G33" s="74"/>
      <c r="H33" s="10"/>
    </row>
    <row r="34" spans="2:12" ht="20.399999999999999">
      <c r="B34" s="5"/>
      <c r="C34" s="127" t="s">
        <v>27</v>
      </c>
      <c r="D34" s="128"/>
      <c r="E34" s="128"/>
      <c r="F34" s="75">
        <f>F19+F31</f>
        <v>144269039</v>
      </c>
      <c r="G34" s="76">
        <f>G4-F34</f>
        <v>753730961</v>
      </c>
      <c r="H34" s="10"/>
      <c r="L34" s="59">
        <v>7380255</v>
      </c>
    </row>
    <row r="35" spans="2:12" ht="20.399999999999999">
      <c r="B35" s="5"/>
      <c r="C35" s="77" t="s">
        <v>28</v>
      </c>
      <c r="D35" s="78"/>
      <c r="E35" s="79"/>
      <c r="F35" s="80"/>
      <c r="G35" s="35"/>
      <c r="H35" s="10"/>
    </row>
    <row r="36" spans="2:12" ht="21">
      <c r="B36" s="5"/>
      <c r="C36" s="81" t="s">
        <v>29</v>
      </c>
      <c r="D36" s="82" t="s">
        <v>1</v>
      </c>
      <c r="E36" s="83">
        <f>F32</f>
        <v>0</v>
      </c>
      <c r="F36" s="80"/>
      <c r="G36" s="35"/>
      <c r="H36" s="10"/>
      <c r="L36" s="1">
        <v>6582910</v>
      </c>
    </row>
    <row r="37" spans="2:12" ht="20.399999999999999">
      <c r="B37" s="5"/>
      <c r="C37" s="81" t="s">
        <v>30</v>
      </c>
      <c r="D37" s="82" t="s">
        <v>1</v>
      </c>
      <c r="E37" s="84" t="s">
        <v>31</v>
      </c>
      <c r="F37" s="80"/>
      <c r="G37" s="35"/>
      <c r="H37" s="10"/>
    </row>
    <row r="38" spans="2:12" ht="20.399999999999999">
      <c r="B38" s="5"/>
      <c r="C38" s="85" t="s">
        <v>32</v>
      </c>
      <c r="D38" s="86" t="s">
        <v>1</v>
      </c>
      <c r="E38" s="87" t="s">
        <v>33</v>
      </c>
      <c r="F38" s="129" t="s">
        <v>34</v>
      </c>
      <c r="G38" s="130"/>
      <c r="H38" s="10"/>
    </row>
    <row r="39" spans="2:12" ht="6" customHeight="1">
      <c r="B39" s="88"/>
      <c r="C39" s="89"/>
      <c r="D39" s="89"/>
      <c r="E39" s="89"/>
      <c r="F39" s="89"/>
      <c r="G39" s="89"/>
      <c r="H39" s="90"/>
    </row>
    <row r="40" spans="2:12" ht="18.600000000000001">
      <c r="C40" s="91"/>
      <c r="D40" s="91"/>
      <c r="E40" s="91"/>
      <c r="F40" s="91"/>
      <c r="G40" s="91"/>
    </row>
    <row r="41" spans="2:12" ht="19.8">
      <c r="C41" s="92" t="s">
        <v>35</v>
      </c>
      <c r="D41" s="93"/>
      <c r="E41" s="94"/>
      <c r="F41" s="95"/>
      <c r="G41" s="91"/>
    </row>
    <row r="42" spans="2:12" ht="19.8">
      <c r="C42" s="92"/>
      <c r="D42" s="93"/>
      <c r="E42" s="94"/>
      <c r="F42" s="96" t="s">
        <v>36</v>
      </c>
      <c r="G42" s="97">
        <v>15000000</v>
      </c>
    </row>
    <row r="43" spans="2:12" ht="19.8">
      <c r="C43" s="92" t="s">
        <v>37</v>
      </c>
      <c r="D43" s="93"/>
      <c r="E43" s="94">
        <v>89800000000</v>
      </c>
      <c r="F43" s="98" t="s">
        <v>38</v>
      </c>
      <c r="G43" s="99"/>
    </row>
    <row r="44" spans="2:12" ht="19.8">
      <c r="C44" s="100">
        <v>0.01</v>
      </c>
      <c r="D44" s="93"/>
      <c r="E44" s="94">
        <f>E43*C44</f>
        <v>898000000</v>
      </c>
      <c r="F44" s="98" t="s">
        <v>39</v>
      </c>
      <c r="G44" s="101"/>
    </row>
    <row r="45" spans="2:12" ht="18.600000000000001">
      <c r="C45" s="91"/>
      <c r="D45" s="91"/>
      <c r="E45" s="91"/>
      <c r="F45" s="91"/>
      <c r="G45" s="91"/>
    </row>
    <row r="46" spans="2:12" ht="18.600000000000001">
      <c r="C46" s="91"/>
      <c r="D46" s="91"/>
      <c r="E46" s="91"/>
      <c r="F46" s="91"/>
      <c r="G46" s="91"/>
    </row>
  </sheetData>
  <mergeCells count="20">
    <mergeCell ref="D28:E28"/>
    <mergeCell ref="D30:E30"/>
    <mergeCell ref="D31:E31"/>
    <mergeCell ref="C34:E34"/>
    <mergeCell ref="F38:G38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L45"/>
  <sheetViews>
    <sheetView view="pageBreakPreview" topLeftCell="A10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spans="2:8" ht="21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0.81050355122494433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128</v>
      </c>
      <c r="D16" s="115" t="s">
        <v>118</v>
      </c>
      <c r="E16" s="116"/>
      <c r="F16" s="34">
        <f>+LK.09!F27+LK.10!F29+LK.11!F31</f>
        <v>61159811</v>
      </c>
      <c r="G16" s="36"/>
      <c r="H16" s="10"/>
    </row>
    <row r="17" spans="2:12" ht="20.399999999999999">
      <c r="B17" s="5"/>
      <c r="C17" s="31"/>
      <c r="D17" s="113" t="s">
        <v>129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144269039</v>
      </c>
      <c r="G19" s="45">
        <f>G4-F19</f>
        <v>753730961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130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131</v>
      </c>
      <c r="E25" s="123"/>
      <c r="F25" s="59">
        <v>1230961</v>
      </c>
      <c r="G25" s="59">
        <f>2500000-1269039-F25</f>
        <v>0</v>
      </c>
      <c r="H25" s="10"/>
    </row>
    <row r="26" spans="2:12" ht="19.8">
      <c r="B26" s="5"/>
      <c r="C26" s="60">
        <v>45124</v>
      </c>
      <c r="D26" s="122" t="s">
        <v>97</v>
      </c>
      <c r="E26" s="123"/>
      <c r="F26" s="59">
        <v>20000000</v>
      </c>
      <c r="G26" s="59">
        <f>20000000-F26</f>
        <v>0</v>
      </c>
      <c r="H26" s="10"/>
    </row>
    <row r="27" spans="2:12" ht="19.8">
      <c r="B27" s="5"/>
      <c r="C27" s="60">
        <v>45167</v>
      </c>
      <c r="D27" s="122" t="s">
        <v>132</v>
      </c>
      <c r="E27" s="123"/>
      <c r="F27" s="59">
        <v>4667811</v>
      </c>
      <c r="G27" s="59">
        <f>20000000-F27</f>
        <v>15332189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4" t="s">
        <v>24</v>
      </c>
      <c r="E29" s="119"/>
      <c r="F29" s="56"/>
      <c r="G29" s="65"/>
      <c r="H29" s="10"/>
      <c r="L29" s="102">
        <v>14509106.75</v>
      </c>
    </row>
    <row r="30" spans="2:12" ht="21">
      <c r="B30" s="5"/>
      <c r="C30" s="60">
        <v>45194</v>
      </c>
      <c r="D30" s="125" t="s">
        <v>133</v>
      </c>
      <c r="E30" s="126"/>
      <c r="F30" s="66">
        <v>25898772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23866346.75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7" t="s">
        <v>27</v>
      </c>
      <c r="D33" s="128"/>
      <c r="E33" s="128"/>
      <c r="F33" s="75">
        <f>F19+F30</f>
        <v>170167811</v>
      </c>
      <c r="G33" s="76">
        <f>G4-F33</f>
        <v>727832189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9" t="s">
        <v>34</v>
      </c>
      <c r="G37" s="130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L45"/>
  <sheetViews>
    <sheetView view="pageBreakPreview" topLeftCell="A7" zoomScale="85" zoomScaleNormal="85" workbookViewId="0">
      <selection activeCell="D25" sqref="D25: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spans="2:8" ht="21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0.78692583964365259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6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170167811</v>
      </c>
      <c r="G19" s="45">
        <f>G4-F19</f>
        <v>727832189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138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139</v>
      </c>
      <c r="E25" s="123"/>
      <c r="F25" s="59">
        <v>0</v>
      </c>
      <c r="G25" s="59">
        <v>0</v>
      </c>
      <c r="H25" s="10"/>
    </row>
    <row r="26" spans="2:12" ht="19.8" customHeight="1">
      <c r="B26" s="5"/>
      <c r="C26" s="60">
        <v>45167</v>
      </c>
      <c r="D26" s="122" t="s">
        <v>140</v>
      </c>
      <c r="E26" s="123"/>
      <c r="F26" s="59">
        <v>15332189</v>
      </c>
      <c r="G26" s="59">
        <f>20000000-F26-4667811</f>
        <v>0</v>
      </c>
      <c r="H26" s="10"/>
    </row>
    <row r="27" spans="2:12" ht="19.8">
      <c r="B27" s="5"/>
      <c r="C27" s="60">
        <v>45189</v>
      </c>
      <c r="D27" s="122" t="s">
        <v>141</v>
      </c>
      <c r="E27" s="123"/>
      <c r="F27" s="59">
        <v>5840596</v>
      </c>
      <c r="G27" s="59">
        <f>25000000-F27</f>
        <v>19159404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4" t="s">
        <v>24</v>
      </c>
      <c r="E29" s="119"/>
      <c r="F29" s="56"/>
      <c r="G29" s="65"/>
      <c r="H29" s="10"/>
      <c r="L29" s="102">
        <v>14509106.75</v>
      </c>
    </row>
    <row r="30" spans="2:12" ht="21">
      <c r="B30" s="5"/>
      <c r="C30" s="60">
        <v>45204</v>
      </c>
      <c r="D30" s="125" t="s">
        <v>142</v>
      </c>
      <c r="E30" s="126"/>
      <c r="F30" s="66">
        <v>21172785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28866346.75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7" t="s">
        <v>27</v>
      </c>
      <c r="D33" s="128"/>
      <c r="E33" s="128"/>
      <c r="F33" s="75">
        <f>F19+F30</f>
        <v>191340596</v>
      </c>
      <c r="G33" s="76">
        <f>G4-F33</f>
        <v>706659404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9" t="s">
        <v>34</v>
      </c>
      <c r="G37" s="130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L47"/>
  <sheetViews>
    <sheetView view="pageBreakPreview" topLeftCell="A13" zoomScale="85" zoomScaleNormal="85" workbookViewId="0">
      <selection activeCell="C19" sqref="C1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0.76968327394209357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145</v>
      </c>
      <c r="D18" s="115" t="s">
        <v>118</v>
      </c>
      <c r="E18" s="116"/>
      <c r="F18" s="34">
        <f>+LK.13!F30</f>
        <v>21172785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3" t="s">
        <v>146</v>
      </c>
      <c r="E19" s="114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191340596</v>
      </c>
      <c r="G21" s="45">
        <f>G4-F21</f>
        <v>706659404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147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22" t="s">
        <v>148</v>
      </c>
      <c r="E27" s="123"/>
      <c r="F27" s="59">
        <v>15483824</v>
      </c>
      <c r="G27" s="59">
        <f>25000000-5840596-F27</f>
        <v>3675580</v>
      </c>
      <c r="H27" s="10"/>
    </row>
    <row r="28" spans="2:12" ht="19.8" customHeight="1">
      <c r="B28" s="5"/>
      <c r="C28" s="60"/>
      <c r="D28" s="122"/>
      <c r="E28" s="123"/>
      <c r="F28" s="59"/>
      <c r="G28" s="59"/>
      <c r="H28" s="10"/>
    </row>
    <row r="29" spans="2:12" ht="19.8">
      <c r="B29" s="5"/>
      <c r="C29" s="60"/>
      <c r="D29" s="122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45240</v>
      </c>
      <c r="D32" s="125" t="s">
        <v>149</v>
      </c>
      <c r="E32" s="126"/>
      <c r="F32" s="66">
        <v>15483824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7" t="s">
        <v>27</v>
      </c>
      <c r="D35" s="128"/>
      <c r="E35" s="128"/>
      <c r="F35" s="75">
        <f>F21+F32</f>
        <v>206824420</v>
      </c>
      <c r="G35" s="76">
        <f>G4-F35</f>
        <v>691175580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L47"/>
  <sheetViews>
    <sheetView view="pageBreakPreview" topLeftCell="A13" zoomScale="85" zoomScaleNormal="85" workbookViewId="0">
      <selection activeCell="J17" sqref="J1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spans="2:12" ht="21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0.74603339309576833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152</v>
      </c>
      <c r="D18" s="115" t="s">
        <v>118</v>
      </c>
      <c r="E18" s="116"/>
      <c r="F18" s="34">
        <f>+LK.13!F30+LK.14!F32</f>
        <v>36656609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3" t="s">
        <v>153</v>
      </c>
      <c r="E19" s="114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206824420</v>
      </c>
      <c r="G21" s="45">
        <f>G4-F21</f>
        <v>691175580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147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32" t="s">
        <v>154</v>
      </c>
      <c r="E27" s="123"/>
      <c r="F27" s="59">
        <v>3675580</v>
      </c>
      <c r="G27" s="59">
        <f>25000000-21324420-F27</f>
        <v>0</v>
      </c>
      <c r="H27" s="10"/>
    </row>
    <row r="28" spans="2:12" ht="19.8" customHeight="1">
      <c r="B28" s="5"/>
      <c r="C28" s="60">
        <v>45215</v>
      </c>
      <c r="D28" s="132" t="s">
        <v>155</v>
      </c>
      <c r="E28" s="123"/>
      <c r="F28" s="59">
        <v>17562013</v>
      </c>
      <c r="G28" s="59">
        <f>20000000-0-F28</f>
        <v>2437987</v>
      </c>
      <c r="H28" s="10"/>
    </row>
    <row r="29" spans="2:12" ht="19.8">
      <c r="B29" s="5"/>
      <c r="C29" s="60"/>
      <c r="D29" s="122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45252</v>
      </c>
      <c r="D32" s="125" t="s">
        <v>156</v>
      </c>
      <c r="E32" s="126"/>
      <c r="F32" s="66">
        <v>21237593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7" t="s">
        <v>27</v>
      </c>
      <c r="D35" s="128"/>
      <c r="E35" s="128"/>
      <c r="F35" s="75">
        <f>F21+F32</f>
        <v>228062013</v>
      </c>
      <c r="G35" s="76">
        <f>G4-F35</f>
        <v>669937987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935-2D93-4394-A14F-4C91BB9B07A7}">
  <sheetPr>
    <pageSetUpPr fitToPage="1"/>
  </sheetPr>
  <dimension ref="B3:L47"/>
  <sheetViews>
    <sheetView view="pageBreakPreview" topLeftCell="A12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164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spans="2:12" ht="21">
      <c r="B6" s="5"/>
      <c r="C6" s="11" t="s">
        <v>7</v>
      </c>
      <c r="D6" s="12" t="s">
        <v>1</v>
      </c>
      <c r="E6" s="105" t="s">
        <v>163</v>
      </c>
      <c r="F6" s="11" t="s">
        <v>9</v>
      </c>
      <c r="G6" s="14">
        <f>G4-G5</f>
        <v>640265987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0.71299107683741647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157</v>
      </c>
      <c r="D18" s="115" t="s">
        <v>158</v>
      </c>
      <c r="E18" s="116"/>
      <c r="F18" s="34">
        <f>+LK.13!F30+LK.14!F32+LK.15!F32</f>
        <v>57894202</v>
      </c>
      <c r="G18" s="36"/>
      <c r="H18" s="10"/>
      <c r="L18" s="1">
        <f>163000000+22500000+25000000</f>
        <v>210500000</v>
      </c>
    </row>
    <row r="19" spans="2:12" ht="20.399999999999999">
      <c r="B19" s="5"/>
      <c r="C19" s="31"/>
      <c r="D19" s="113" t="s">
        <v>159</v>
      </c>
      <c r="E19" s="114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228062013</v>
      </c>
      <c r="G21" s="45">
        <f>G4-F21</f>
        <v>669937987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34" t="s">
        <v>160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45215</v>
      </c>
      <c r="D27" s="135" t="s">
        <v>161</v>
      </c>
      <c r="E27" s="123"/>
      <c r="F27" s="59">
        <v>2437987</v>
      </c>
      <c r="G27" s="59">
        <v>0</v>
      </c>
      <c r="H27" s="10"/>
    </row>
    <row r="28" spans="2:12" ht="19.8" customHeight="1">
      <c r="B28" s="5"/>
      <c r="C28" s="60">
        <v>45238</v>
      </c>
      <c r="D28" s="135" t="s">
        <v>162</v>
      </c>
      <c r="E28" s="123"/>
      <c r="F28" s="59">
        <v>23000000</v>
      </c>
      <c r="G28" s="59">
        <f>23000000-F28</f>
        <v>0</v>
      </c>
      <c r="H28" s="10"/>
    </row>
    <row r="29" spans="2:12" ht="19.8">
      <c r="B29" s="5"/>
      <c r="C29" s="60">
        <v>45257</v>
      </c>
      <c r="D29" s="135" t="s">
        <v>166</v>
      </c>
      <c r="E29" s="123"/>
      <c r="F29" s="59">
        <v>4234013</v>
      </c>
      <c r="G29" s="59">
        <f>23000000-F29</f>
        <v>18765987</v>
      </c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44928</v>
      </c>
      <c r="D32" s="133" t="s">
        <v>165</v>
      </c>
      <c r="E32" s="126"/>
      <c r="F32" s="66">
        <v>29672000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26866346.75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27" t="s">
        <v>27</v>
      </c>
      <c r="D35" s="128"/>
      <c r="E35" s="128"/>
      <c r="F35" s="75">
        <f>F21+F32</f>
        <v>257734013</v>
      </c>
      <c r="G35" s="76">
        <f>G4-F35</f>
        <v>640265987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6118-850F-4E77-8067-76509B3A5791}">
  <sheetPr>
    <pageSetUpPr fitToPage="1"/>
  </sheetPr>
  <dimension ref="B3:L47"/>
  <sheetViews>
    <sheetView tabSelected="1" view="pageBreakPreview" topLeftCell="A11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167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289863787</v>
      </c>
      <c r="H5" s="10"/>
    </row>
    <row r="6" spans="2:12" ht="21">
      <c r="B6" s="5"/>
      <c r="C6" s="11" t="s">
        <v>7</v>
      </c>
      <c r="D6" s="12" t="s">
        <v>1</v>
      </c>
      <c r="E6" s="105" t="s">
        <v>168</v>
      </c>
      <c r="F6" s="11" t="s">
        <v>9</v>
      </c>
      <c r="G6" s="14">
        <f>G4-G5</f>
        <v>608136213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0.67721181848552336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169</v>
      </c>
      <c r="D18" s="115" t="s">
        <v>158</v>
      </c>
      <c r="E18" s="116"/>
      <c r="F18" s="34">
        <f>+LK.13!F30+LK.14!F32+LK.15!F32+LK.16!F32</f>
        <v>87566202</v>
      </c>
      <c r="G18" s="36"/>
      <c r="H18" s="10"/>
      <c r="L18" s="1">
        <f>163000000+22500000+25000000+43000000</f>
        <v>253500000</v>
      </c>
    </row>
    <row r="19" spans="2:12" ht="20.399999999999999">
      <c r="B19" s="5"/>
      <c r="C19" s="31"/>
      <c r="D19" s="113" t="s">
        <v>170</v>
      </c>
      <c r="E19" s="114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257734013</v>
      </c>
      <c r="G21" s="45">
        <f>G4-F21</f>
        <v>640265987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171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45257</v>
      </c>
      <c r="D27" s="135" t="s">
        <v>172</v>
      </c>
      <c r="E27" s="123"/>
      <c r="F27" s="59">
        <v>23765987</v>
      </c>
      <c r="G27" s="59">
        <f>28000000-F27-4234013</f>
        <v>0</v>
      </c>
      <c r="H27" s="10"/>
    </row>
    <row r="28" spans="2:12" ht="19.8" customHeight="1">
      <c r="B28" s="5"/>
      <c r="C28" s="60">
        <v>45279</v>
      </c>
      <c r="D28" s="135" t="s">
        <v>174</v>
      </c>
      <c r="E28" s="123"/>
      <c r="F28" s="59">
        <v>8363787</v>
      </c>
      <c r="G28" s="59">
        <f>22000000-F28</f>
        <v>13636213</v>
      </c>
      <c r="H28" s="10"/>
    </row>
    <row r="29" spans="2:12" ht="19.8">
      <c r="B29" s="5"/>
      <c r="C29" s="60"/>
      <c r="D29" s="135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44945</v>
      </c>
      <c r="D32" s="133" t="s">
        <v>173</v>
      </c>
      <c r="E32" s="126"/>
      <c r="F32" s="66">
        <v>32129774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27" t="s">
        <v>27</v>
      </c>
      <c r="D35" s="128"/>
      <c r="E35" s="128"/>
      <c r="F35" s="75">
        <f>F21+F32</f>
        <v>289863787</v>
      </c>
      <c r="G35" s="76">
        <f>G4-F35</f>
        <v>608136213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  <c r="L39" s="1">
        <v>290553787</v>
      </c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42"/>
  <sheetViews>
    <sheetView view="pageBreakPreview" topLeftCell="A18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spans="2:12" ht="21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0.98594683184855236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42</v>
      </c>
      <c r="D12" s="112" t="s">
        <v>43</v>
      </c>
      <c r="E12" s="112"/>
      <c r="F12" s="29">
        <f>LK.01!F26</f>
        <v>8060090</v>
      </c>
      <c r="G12" s="30"/>
      <c r="H12" s="10"/>
    </row>
    <row r="13" spans="2:12" ht="20.399999999999999">
      <c r="B13" s="5"/>
      <c r="C13" s="31"/>
      <c r="D13" s="113" t="s">
        <v>44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8060090</v>
      </c>
      <c r="G17" s="45">
        <f>G4-F17</f>
        <v>889939910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22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2" t="s">
        <v>45</v>
      </c>
      <c r="E23" s="123"/>
      <c r="F23" s="59">
        <v>1939910</v>
      </c>
      <c r="G23" s="59">
        <v>0</v>
      </c>
      <c r="H23" s="10"/>
    </row>
    <row r="24" spans="2:12" ht="19.8">
      <c r="B24" s="5"/>
      <c r="C24" s="60">
        <v>44991</v>
      </c>
      <c r="D24" s="122" t="s">
        <v>46</v>
      </c>
      <c r="E24" s="123"/>
      <c r="F24" s="59">
        <v>2619745</v>
      </c>
      <c r="G24" s="59">
        <f>10000000-F24</f>
        <v>7380255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44934</v>
      </c>
      <c r="D27" s="125" t="s">
        <v>47</v>
      </c>
      <c r="E27" s="126"/>
      <c r="F27" s="66">
        <v>4559655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12619745</v>
      </c>
      <c r="G30" s="76">
        <f>G4-F30</f>
        <v>885380255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42"/>
  <sheetViews>
    <sheetView view="pageBreakPreview" topLeftCell="A7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spans="2:12" ht="21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0.97392306236080173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50</v>
      </c>
      <c r="D12" s="112" t="s">
        <v>51</v>
      </c>
      <c r="E12" s="112"/>
      <c r="F12" s="29">
        <f>LK.01!F26+LK.02!F27</f>
        <v>12619745</v>
      </c>
      <c r="G12" s="30"/>
      <c r="H12" s="10"/>
    </row>
    <row r="13" spans="2:12" ht="20.399999999999999">
      <c r="B13" s="5"/>
      <c r="C13" s="31"/>
      <c r="D13" s="113" t="s">
        <v>52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12619745</v>
      </c>
      <c r="G17" s="45">
        <f>G4-F17</f>
        <v>885380255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53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44991</v>
      </c>
      <c r="D23" s="122" t="s">
        <v>54</v>
      </c>
      <c r="E23" s="123"/>
      <c r="F23" s="59">
        <v>7380255</v>
      </c>
      <c r="G23" s="59">
        <v>0</v>
      </c>
      <c r="H23" s="10"/>
    </row>
    <row r="24" spans="2:12" ht="19.8">
      <c r="B24" s="5"/>
      <c r="C24" s="60">
        <v>45016</v>
      </c>
      <c r="D24" s="122" t="s">
        <v>55</v>
      </c>
      <c r="E24" s="123"/>
      <c r="F24" s="59">
        <v>3417090</v>
      </c>
      <c r="G24" s="59">
        <f>10000000-F24</f>
        <v>6582910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5" t="s">
        <v>56</v>
      </c>
      <c r="E27" s="126"/>
      <c r="F27" s="66">
        <v>10797345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23417090</v>
      </c>
      <c r="G30" s="76">
        <f>G4-F30</f>
        <v>874582910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L42"/>
  <sheetViews>
    <sheetView view="pageBreakPreview" topLeftCell="A5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spans="2:12" ht="21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0.96155040089086863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59</v>
      </c>
      <c r="D12" s="112" t="s">
        <v>51</v>
      </c>
      <c r="E12" s="112"/>
      <c r="F12" s="29">
        <f>LK.01!F26+LK.02!F27+LK.03!F27</f>
        <v>23417090</v>
      </c>
      <c r="G12" s="30"/>
      <c r="H12" s="10"/>
    </row>
    <row r="13" spans="2:12" ht="20.399999999999999">
      <c r="B13" s="5"/>
      <c r="C13" s="31"/>
      <c r="D13" s="113" t="s">
        <v>60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23417090</v>
      </c>
      <c r="G17" s="45">
        <f>G4-F17</f>
        <v>874582910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61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 customHeight="1">
      <c r="B23" s="5"/>
      <c r="C23" s="60">
        <v>45001</v>
      </c>
      <c r="D23" s="122" t="s">
        <v>62</v>
      </c>
      <c r="E23" s="123"/>
      <c r="F23" s="59">
        <v>6582910</v>
      </c>
      <c r="G23" s="59">
        <v>0</v>
      </c>
      <c r="H23" s="10"/>
    </row>
    <row r="24" spans="2:12" ht="19.8">
      <c r="B24" s="5"/>
      <c r="C24" s="60">
        <v>45016</v>
      </c>
      <c r="D24" s="122" t="s">
        <v>55</v>
      </c>
      <c r="E24" s="123"/>
      <c r="F24" s="59">
        <v>4527740</v>
      </c>
      <c r="G24" s="59">
        <f>10000000-F24</f>
        <v>5472260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5" t="s">
        <v>63</v>
      </c>
      <c r="E27" s="126"/>
      <c r="F27" s="66">
        <v>11110650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34527740</v>
      </c>
      <c r="G30" s="76">
        <f>G4-F30</f>
        <v>863472260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L42"/>
  <sheetViews>
    <sheetView view="pageBreakPreview" topLeftCell="A13" zoomScale="85" zoomScaleNormal="85" workbookViewId="0">
      <selection activeCell="E25" sqref="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spans="2:12" ht="21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0.95312456570155901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34527740</v>
      </c>
      <c r="G17" s="45">
        <f>G4-F17</f>
        <v>863472260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68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45016</v>
      </c>
      <c r="D23" s="122" t="s">
        <v>69</v>
      </c>
      <c r="E23" s="123"/>
      <c r="F23" s="59">
        <v>5472260</v>
      </c>
      <c r="G23" s="59">
        <v>0</v>
      </c>
      <c r="H23" s="10"/>
    </row>
    <row r="24" spans="2:12" ht="19.8">
      <c r="B24" s="5"/>
      <c r="C24" s="60">
        <v>45035</v>
      </c>
      <c r="D24" s="122" t="s">
        <v>70</v>
      </c>
      <c r="E24" s="123"/>
      <c r="F24" s="59">
        <v>2094140</v>
      </c>
      <c r="G24" s="59">
        <f>10000000-F24</f>
        <v>7905860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5" t="s">
        <v>71</v>
      </c>
      <c r="E27" s="126"/>
      <c r="F27" s="66">
        <v>7566400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42094140</v>
      </c>
      <c r="G30" s="76">
        <f>G4-F30</f>
        <v>855905860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3:L42"/>
  <sheetViews>
    <sheetView view="pageBreakPreview" topLeftCell="A11" zoomScale="85" zoomScaleNormal="85" workbookViewId="0">
      <selection activeCell="E7" sqref="E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spans="2:12" ht="21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0.94293581291759465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74</v>
      </c>
      <c r="D14" s="115" t="s">
        <v>75</v>
      </c>
      <c r="E14" s="116"/>
      <c r="F14" s="34">
        <f>+LK.05!F27</f>
        <v>7566400</v>
      </c>
      <c r="G14" s="36"/>
      <c r="H14" s="10"/>
    </row>
    <row r="15" spans="2:12" ht="20.399999999999999">
      <c r="B15" s="5"/>
      <c r="C15" s="31"/>
      <c r="D15" s="113" t="s">
        <v>76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42094140</v>
      </c>
      <c r="G17" s="45">
        <f>G4-F17</f>
        <v>855905860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77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45035</v>
      </c>
      <c r="D23" s="122" t="s">
        <v>78</v>
      </c>
      <c r="E23" s="123"/>
      <c r="F23" s="59">
        <v>7905860</v>
      </c>
      <c r="G23" s="59">
        <v>0</v>
      </c>
      <c r="H23" s="10"/>
    </row>
    <row r="24" spans="2:12" ht="19.8">
      <c r="B24" s="5"/>
      <c r="C24" s="60">
        <v>45051</v>
      </c>
      <c r="D24" s="122" t="s">
        <v>79</v>
      </c>
      <c r="E24" s="123"/>
      <c r="F24" s="59">
        <v>1243640</v>
      </c>
      <c r="G24" s="59">
        <f>10000000-F24</f>
        <v>8756360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5" t="s">
        <v>80</v>
      </c>
      <c r="E27" s="126"/>
      <c r="F27" s="66">
        <v>9149500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51243640</v>
      </c>
      <c r="G30" s="76">
        <f>G4-F30</f>
        <v>846756360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L42"/>
  <sheetViews>
    <sheetView view="pageBreakPreview" topLeftCell="A10" zoomScale="85" zoomScaleNormal="85" workbookViewId="0">
      <selection activeCell="J24" sqref="J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spans="2:12" ht="21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0.93041665924276173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83</v>
      </c>
      <c r="D14" s="115" t="s">
        <v>84</v>
      </c>
      <c r="E14" s="116"/>
      <c r="F14" s="34">
        <f>+LK.05!F27+LK.06!F27</f>
        <v>16715900</v>
      </c>
      <c r="G14" s="36"/>
      <c r="H14" s="10"/>
    </row>
    <row r="15" spans="2:12" ht="20.399999999999999">
      <c r="B15" s="5"/>
      <c r="C15" s="31"/>
      <c r="D15" s="113" t="s">
        <v>85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51243640</v>
      </c>
      <c r="G17" s="45">
        <f>G4-F17</f>
        <v>846756360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86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45051</v>
      </c>
      <c r="D23" s="122" t="s">
        <v>87</v>
      </c>
      <c r="E23" s="123"/>
      <c r="F23" s="59">
        <v>8756360</v>
      </c>
      <c r="G23" s="59">
        <f>10000000-F23</f>
        <v>1243640</v>
      </c>
      <c r="H23" s="10"/>
    </row>
    <row r="24" spans="2:12" ht="19.8">
      <c r="B24" s="5"/>
      <c r="C24" s="60">
        <v>45067</v>
      </c>
      <c r="D24" s="122" t="s">
        <v>88</v>
      </c>
      <c r="E24" s="123"/>
      <c r="F24" s="59">
        <v>2485840</v>
      </c>
      <c r="G24" s="59">
        <f>20000000-F24</f>
        <v>17514160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5" t="s">
        <v>89</v>
      </c>
      <c r="E27" s="126"/>
      <c r="F27" s="66">
        <v>11242200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62485840</v>
      </c>
      <c r="G30" s="76">
        <f>G4-F30</f>
        <v>835514160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L42"/>
  <sheetViews>
    <sheetView view="pageBreakPreview" topLeftCell="A11" zoomScale="85" zoomScaleNormal="85" workbookViewId="0">
      <selection activeCell="L27" sqref="L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spans="2:12" ht="21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0.90745074832962136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92</v>
      </c>
      <c r="D14" s="115" t="s">
        <v>93</v>
      </c>
      <c r="E14" s="116"/>
      <c r="F14" s="34">
        <f>+LK.05!F27+LK.06!F27+LK.07!F27</f>
        <v>27958100</v>
      </c>
      <c r="G14" s="36"/>
      <c r="H14" s="10"/>
    </row>
    <row r="15" spans="2:12" ht="20.399999999999999">
      <c r="B15" s="5"/>
      <c r="C15" s="31"/>
      <c r="D15" s="113" t="s">
        <v>94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62485840</v>
      </c>
      <c r="G17" s="45">
        <f>G4-F17</f>
        <v>835514160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95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45067</v>
      </c>
      <c r="D23" s="122" t="s">
        <v>96</v>
      </c>
      <c r="E23" s="123"/>
      <c r="F23" s="59">
        <v>17514160</v>
      </c>
      <c r="G23" s="59">
        <v>0</v>
      </c>
      <c r="H23" s="10"/>
    </row>
    <row r="24" spans="2:12" ht="19.8">
      <c r="B24" s="5"/>
      <c r="C24" s="60">
        <v>45090</v>
      </c>
      <c r="D24" s="122" t="s">
        <v>97</v>
      </c>
      <c r="E24" s="123"/>
      <c r="F24" s="59">
        <v>3109228</v>
      </c>
      <c r="G24" s="59">
        <f>20000000-F24</f>
        <v>16890772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5" t="s">
        <v>98</v>
      </c>
      <c r="E27" s="126"/>
      <c r="F27" s="66">
        <v>20623388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83109228</v>
      </c>
      <c r="G30" s="76">
        <f>G4-F30</f>
        <v>814890772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L42"/>
  <sheetViews>
    <sheetView view="pageBreakPreview" topLeftCell="A8" zoomScale="85" zoomScaleNormal="85" workbookViewId="0">
      <selection activeCell="I24" sqref="I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spans="2:12" ht="21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0.89177079510022272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93</v>
      </c>
      <c r="E14" s="116"/>
      <c r="F14" s="34">
        <f>+LK.05!F27+LK.06!F27+LK.07!F27+LK.08!F27</f>
        <v>48581488</v>
      </c>
      <c r="G14" s="36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3"/>
      <c r="H15" s="10"/>
      <c r="L15" s="1">
        <v>2810174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83109228</v>
      </c>
      <c r="G17" s="45">
        <f>G4-F17</f>
        <v>814890772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103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45090</v>
      </c>
      <c r="D23" s="122" t="s">
        <v>104</v>
      </c>
      <c r="E23" s="123"/>
      <c r="F23" s="59">
        <v>14080598</v>
      </c>
      <c r="G23" s="59">
        <f>20000000-3109228-F23</f>
        <v>2810174</v>
      </c>
      <c r="H23" s="10"/>
    </row>
    <row r="24" spans="2:12" ht="19.8">
      <c r="B24" s="5"/>
      <c r="C24" s="60"/>
      <c r="D24" s="122"/>
      <c r="E24" s="123"/>
      <c r="F24" s="59"/>
      <c r="G24" s="59"/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45132</v>
      </c>
      <c r="D27" s="125" t="s">
        <v>105</v>
      </c>
      <c r="E27" s="126"/>
      <c r="F27" s="66">
        <v>14080598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97189826</v>
      </c>
      <c r="G30" s="76">
        <f>G4-F30</f>
        <v>800810174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  <vt:lpstr>LK.17!Print_Area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2024-01-19T02:11:46Z</cp:lastPrinted>
  <dcterms:created xsi:type="dcterms:W3CDTF">2022-10-10T04:50:00Z</dcterms:created>
  <dcterms:modified xsi:type="dcterms:W3CDTF">2024-02-19T02:26:49Z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