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I\Rekap LK\SSI-I.22.010-E Gantry Toll\rekap\"/>
    </mc:Choice>
  </mc:AlternateContent>
  <xr:revisionPtr revIDLastSave="0" documentId="13_ncr:1_{D8F509D2-982D-4C34-A413-5E7F9BCAF692}" xr6:coauthVersionLast="47" xr6:coauthVersionMax="47" xr10:uidLastSave="{00000000-0000-0000-0000-000000000000}"/>
  <bookViews>
    <workbookView xWindow="-108" yWindow="-108" windowWidth="23256" windowHeight="12576" firstSheet="11" activeTab="22" xr2:uid="{B3110DCE-94BA-46E8-84FF-E50BC4F6FFF8}"/>
  </bookViews>
  <sheets>
    <sheet name="LK.1" sheetId="24" r:id="rId1"/>
    <sheet name="LK.2" sheetId="25" r:id="rId2"/>
    <sheet name="LK.3" sheetId="27" r:id="rId3"/>
    <sheet name="LK.4" sheetId="28" r:id="rId4"/>
    <sheet name="LK.5" sheetId="30" r:id="rId5"/>
    <sheet name="LK.6" sheetId="31" r:id="rId6"/>
    <sheet name="LK.7" sheetId="32" r:id="rId7"/>
    <sheet name="LK.8" sheetId="33" r:id="rId8"/>
    <sheet name="LK.9" sheetId="34" r:id="rId9"/>
    <sheet name="LK.10" sheetId="35" r:id="rId10"/>
    <sheet name="LK.11" sheetId="36" r:id="rId11"/>
    <sheet name="LK.12" sheetId="37" r:id="rId12"/>
    <sheet name="LK.13" sheetId="38" r:id="rId13"/>
    <sheet name="LK.14" sheetId="40" r:id="rId14"/>
    <sheet name="LK.15" sheetId="39" r:id="rId15"/>
    <sheet name="LK.16" sheetId="42" r:id="rId16"/>
    <sheet name="LK.17" sheetId="43" r:id="rId17"/>
    <sheet name="LK.18" sheetId="44" r:id="rId18"/>
    <sheet name="LK.19" sheetId="46" r:id="rId19"/>
    <sheet name="LK.20" sheetId="47" r:id="rId20"/>
    <sheet name="LK.21" sheetId="48" r:id="rId21"/>
    <sheet name="LK.22" sheetId="49" r:id="rId22"/>
    <sheet name="LK.23" sheetId="50" r:id="rId23"/>
  </sheets>
  <definedNames>
    <definedName name="_xlnm.Print_Area" localSheetId="0">LK.1!$B$3:$H$32</definedName>
    <definedName name="_xlnm.Print_Area" localSheetId="9">LK.10!$B$3:$H$38</definedName>
    <definedName name="_xlnm.Print_Area" localSheetId="10">LK.11!$B$3:$H$38</definedName>
    <definedName name="_xlnm.Print_Area" localSheetId="11">LK.12!$B$3:$H$39</definedName>
    <definedName name="_xlnm.Print_Area" localSheetId="12">LK.13!$B$3:$H$38</definedName>
    <definedName name="_xlnm.Print_Area" localSheetId="13">LK.14!$B$3:$H$39</definedName>
    <definedName name="_xlnm.Print_Area" localSheetId="14">LK.15!$B$3:$H$39</definedName>
    <definedName name="_xlnm.Print_Area" localSheetId="15">LK.16!$B$3:$H$41</definedName>
    <definedName name="_xlnm.Print_Area" localSheetId="16">LK.17!$B$3:$H$40</definedName>
    <definedName name="_xlnm.Print_Area" localSheetId="17">LK.18!$B$3:$H$41</definedName>
    <definedName name="_xlnm.Print_Area" localSheetId="18">LK.19!$B$3:$H$41</definedName>
    <definedName name="_xlnm.Print_Area" localSheetId="1">LK.2!$B$3:$H$37</definedName>
    <definedName name="_xlnm.Print_Area" localSheetId="19">LK.20!$B$3:$H$42</definedName>
    <definedName name="_xlnm.Print_Area" localSheetId="20">LK.21!$B$3:$H$43</definedName>
    <definedName name="_xlnm.Print_Area" localSheetId="21">LK.22!$B$3:$H$43</definedName>
    <definedName name="_xlnm.Print_Area" localSheetId="22">LK.23!$B$3:$H$43</definedName>
    <definedName name="_xlnm.Print_Area" localSheetId="2">LK.3!$B$3:$H$35</definedName>
    <definedName name="_xlnm.Print_Area" localSheetId="3">LK.4!$B$3:$H$35</definedName>
    <definedName name="_xlnm.Print_Area" localSheetId="4">LK.5!$B$3:$H$36</definedName>
    <definedName name="_xlnm.Print_Area" localSheetId="5">LK.6!$B$3:$H$35</definedName>
    <definedName name="_xlnm.Print_Area" localSheetId="6">LK.7!$B$3:$H$36</definedName>
    <definedName name="_xlnm.Print_Area" localSheetId="7">LK.8!$B$3:$H$37</definedName>
    <definedName name="_xlnm.Print_Area" localSheetId="8">LK.9!$B$3:$H$39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0" l="1"/>
  <c r="E48" i="50"/>
  <c r="F36" i="50"/>
  <c r="E40" i="50" s="1"/>
  <c r="L30" i="50"/>
  <c r="L29" i="50"/>
  <c r="L25" i="50"/>
  <c r="L23" i="50"/>
  <c r="F22" i="50"/>
  <c r="F21" i="50"/>
  <c r="F20" i="50"/>
  <c r="F19" i="50"/>
  <c r="F18" i="50"/>
  <c r="F17" i="50"/>
  <c r="F16" i="50"/>
  <c r="F15" i="50"/>
  <c r="F14" i="50"/>
  <c r="F13" i="50"/>
  <c r="F12" i="50"/>
  <c r="G4" i="50"/>
  <c r="G31" i="49"/>
  <c r="F23" i="49"/>
  <c r="F22" i="49"/>
  <c r="E48" i="49"/>
  <c r="G4" i="49" s="1"/>
  <c r="F36" i="49"/>
  <c r="E40" i="49" s="1"/>
  <c r="L30" i="49"/>
  <c r="L29" i="49"/>
  <c r="L25" i="49"/>
  <c r="L23" i="49"/>
  <c r="F21" i="49"/>
  <c r="F20" i="49"/>
  <c r="F19" i="49"/>
  <c r="F18" i="49"/>
  <c r="F17" i="49"/>
  <c r="F16" i="49"/>
  <c r="F15" i="49"/>
  <c r="F14" i="49"/>
  <c r="F13" i="49"/>
  <c r="F12" i="49"/>
  <c r="G32" i="48"/>
  <c r="F22" i="48"/>
  <c r="E48" i="48"/>
  <c r="F36" i="48"/>
  <c r="E40" i="48" s="1"/>
  <c r="L30" i="48"/>
  <c r="L29" i="48"/>
  <c r="L28" i="48"/>
  <c r="L24" i="48"/>
  <c r="L22" i="48"/>
  <c r="F21" i="48"/>
  <c r="F20" i="48"/>
  <c r="F19" i="48"/>
  <c r="F18" i="48"/>
  <c r="F17" i="48"/>
  <c r="F16" i="48"/>
  <c r="F15" i="48"/>
  <c r="F14" i="48"/>
  <c r="F24" i="48" s="1"/>
  <c r="F38" i="48" s="1"/>
  <c r="G5" i="48" s="1"/>
  <c r="F13" i="48"/>
  <c r="F12" i="48"/>
  <c r="G4" i="48"/>
  <c r="G30" i="47"/>
  <c r="L30" i="47"/>
  <c r="L29" i="47"/>
  <c r="F22" i="47"/>
  <c r="F21" i="47"/>
  <c r="E47" i="47"/>
  <c r="F35" i="47"/>
  <c r="E39" i="47" s="1"/>
  <c r="L28" i="47"/>
  <c r="L24" i="47"/>
  <c r="L22" i="47"/>
  <c r="F20" i="47"/>
  <c r="F19" i="47"/>
  <c r="F18" i="47"/>
  <c r="F17" i="47"/>
  <c r="F16" i="47"/>
  <c r="F15" i="47"/>
  <c r="F14" i="47"/>
  <c r="F13" i="47"/>
  <c r="F12" i="47"/>
  <c r="G4" i="47"/>
  <c r="G29" i="46"/>
  <c r="L21" i="46"/>
  <c r="F21" i="46"/>
  <c r="E46" i="46"/>
  <c r="G4" i="46" s="1"/>
  <c r="F34" i="46"/>
  <c r="E38" i="46" s="1"/>
  <c r="L27" i="46"/>
  <c r="L23" i="46"/>
  <c r="F20" i="46"/>
  <c r="F19" i="46"/>
  <c r="F18" i="46"/>
  <c r="F17" i="46"/>
  <c r="F16" i="46"/>
  <c r="F15" i="46"/>
  <c r="F14" i="46"/>
  <c r="F13" i="46"/>
  <c r="F12" i="46"/>
  <c r="F23" i="46" s="1"/>
  <c r="F36" i="46" s="1"/>
  <c r="G5" i="46" s="1"/>
  <c r="F21" i="44"/>
  <c r="F20" i="44"/>
  <c r="G29" i="44"/>
  <c r="F34" i="44"/>
  <c r="E38" i="44" s="1"/>
  <c r="E46" i="44"/>
  <c r="G4" i="44" s="1"/>
  <c r="L27" i="44"/>
  <c r="L23" i="44"/>
  <c r="F19" i="44"/>
  <c r="F18" i="44"/>
  <c r="F17" i="44"/>
  <c r="F16" i="44"/>
  <c r="F15" i="44"/>
  <c r="F14" i="44"/>
  <c r="F13" i="44"/>
  <c r="F12" i="44"/>
  <c r="L22" i="43"/>
  <c r="G28" i="43"/>
  <c r="F20" i="43"/>
  <c r="E45" i="43"/>
  <c r="G4" i="43" s="1"/>
  <c r="L29" i="43"/>
  <c r="F33" i="43"/>
  <c r="E37" i="43" s="1"/>
  <c r="L26" i="43"/>
  <c r="F19" i="43"/>
  <c r="F18" i="43"/>
  <c r="F17" i="43"/>
  <c r="F16" i="43"/>
  <c r="F15" i="43"/>
  <c r="F14" i="43"/>
  <c r="F13" i="43"/>
  <c r="F12" i="43"/>
  <c r="F28" i="42"/>
  <c r="F34" i="42" s="1"/>
  <c r="E38" i="42" s="1"/>
  <c r="G29" i="42"/>
  <c r="F20" i="42"/>
  <c r="F19" i="42"/>
  <c r="E46" i="42"/>
  <c r="L30" i="42"/>
  <c r="L26" i="42"/>
  <c r="F18" i="42"/>
  <c r="F17" i="42"/>
  <c r="F16" i="42"/>
  <c r="F15" i="42"/>
  <c r="F14" i="42"/>
  <c r="F13" i="42"/>
  <c r="F12" i="42"/>
  <c r="G4" i="42"/>
  <c r="G28" i="34"/>
  <c r="L28" i="34"/>
  <c r="F32" i="34"/>
  <c r="E36" i="34" s="1"/>
  <c r="G27" i="34"/>
  <c r="F19" i="39"/>
  <c r="G27" i="39"/>
  <c r="L28" i="39"/>
  <c r="E44" i="40"/>
  <c r="F32" i="40"/>
  <c r="E36" i="40" s="1"/>
  <c r="L28" i="40"/>
  <c r="G27" i="40"/>
  <c r="L25" i="40"/>
  <c r="F19" i="40"/>
  <c r="F18" i="40"/>
  <c r="F17" i="40"/>
  <c r="F16" i="40"/>
  <c r="F15" i="40"/>
  <c r="F14" i="40"/>
  <c r="F13" i="40"/>
  <c r="F12" i="40"/>
  <c r="G4" i="40"/>
  <c r="F18" i="39"/>
  <c r="E44" i="39"/>
  <c r="F32" i="39"/>
  <c r="E36" i="39" s="1"/>
  <c r="L25" i="39"/>
  <c r="F17" i="39"/>
  <c r="F16" i="39"/>
  <c r="F15" i="39"/>
  <c r="F14" i="39"/>
  <c r="F13" i="39"/>
  <c r="F12" i="39"/>
  <c r="G4" i="39"/>
  <c r="F18" i="38"/>
  <c r="G26" i="38"/>
  <c r="L24" i="38"/>
  <c r="E43" i="38"/>
  <c r="F31" i="38"/>
  <c r="E35" i="38" s="1"/>
  <c r="F17" i="38"/>
  <c r="F16" i="38"/>
  <c r="F15" i="38"/>
  <c r="F14" i="38"/>
  <c r="F13" i="38"/>
  <c r="F12" i="38"/>
  <c r="G4" i="38"/>
  <c r="F18" i="37"/>
  <c r="F17" i="37"/>
  <c r="G27" i="37"/>
  <c r="L24" i="37"/>
  <c r="L23" i="36"/>
  <c r="L23" i="35"/>
  <c r="E44" i="37"/>
  <c r="G4" i="37" s="1"/>
  <c r="F32" i="37"/>
  <c r="E36" i="37" s="1"/>
  <c r="F16" i="37"/>
  <c r="F15" i="37"/>
  <c r="F14" i="37"/>
  <c r="F13" i="37"/>
  <c r="F12" i="37"/>
  <c r="G26" i="36"/>
  <c r="F17" i="36"/>
  <c r="F19" i="36" s="1"/>
  <c r="F33" i="36" s="1"/>
  <c r="G5" i="36" s="1"/>
  <c r="E43" i="36"/>
  <c r="G4" i="36" s="1"/>
  <c r="F31" i="36"/>
  <c r="E35" i="36" s="1"/>
  <c r="F16" i="36"/>
  <c r="F15" i="36"/>
  <c r="F14" i="36"/>
  <c r="F13" i="36"/>
  <c r="F12" i="36"/>
  <c r="G27" i="35"/>
  <c r="F17" i="35"/>
  <c r="F16" i="35"/>
  <c r="E43" i="35"/>
  <c r="G4" i="35" s="1"/>
  <c r="F31" i="35"/>
  <c r="E35" i="35" s="1"/>
  <c r="F15" i="35"/>
  <c r="F14" i="35"/>
  <c r="F13" i="35"/>
  <c r="F12" i="35"/>
  <c r="L22" i="34"/>
  <c r="F16" i="34"/>
  <c r="E44" i="34"/>
  <c r="G4" i="34" s="1"/>
  <c r="F15" i="34"/>
  <c r="F14" i="34"/>
  <c r="F13" i="34"/>
  <c r="F12" i="34"/>
  <c r="G26" i="33"/>
  <c r="L26" i="33" s="1"/>
  <c r="F16" i="33"/>
  <c r="F15" i="33"/>
  <c r="L22" i="33"/>
  <c r="E42" i="33"/>
  <c r="G4" i="33" s="1"/>
  <c r="F30" i="33"/>
  <c r="E34" i="33" s="1"/>
  <c r="F14" i="33"/>
  <c r="F13" i="33"/>
  <c r="F12" i="33"/>
  <c r="F15" i="32"/>
  <c r="G24" i="32"/>
  <c r="L21" i="32"/>
  <c r="E41" i="32"/>
  <c r="F29" i="32"/>
  <c r="E33" i="32" s="1"/>
  <c r="L25" i="32"/>
  <c r="F14" i="32"/>
  <c r="F13" i="32"/>
  <c r="F12" i="32"/>
  <c r="G4" i="32"/>
  <c r="L24" i="31"/>
  <c r="G24" i="31"/>
  <c r="L21" i="31"/>
  <c r="F15" i="31"/>
  <c r="E40" i="31"/>
  <c r="F28" i="31"/>
  <c r="E32" i="31" s="1"/>
  <c r="F14" i="31"/>
  <c r="F13" i="31"/>
  <c r="F12" i="31"/>
  <c r="G4" i="31"/>
  <c r="G25" i="30"/>
  <c r="L19" i="30"/>
  <c r="F14" i="30"/>
  <c r="E41" i="30"/>
  <c r="G4" i="30" s="1"/>
  <c r="F29" i="30"/>
  <c r="E33" i="30" s="1"/>
  <c r="F13" i="30"/>
  <c r="F12" i="30"/>
  <c r="G24" i="28"/>
  <c r="L24" i="28"/>
  <c r="F14" i="28"/>
  <c r="E40" i="28"/>
  <c r="G4" i="28" s="1"/>
  <c r="F28" i="28"/>
  <c r="E32" i="28" s="1"/>
  <c r="F13" i="28"/>
  <c r="F12" i="28"/>
  <c r="L14" i="27"/>
  <c r="F28" i="27"/>
  <c r="E32" i="27" s="1"/>
  <c r="L20" i="27"/>
  <c r="F13" i="27"/>
  <c r="E40" i="27"/>
  <c r="G4" i="27" s="1"/>
  <c r="L30" i="27"/>
  <c r="L27" i="27"/>
  <c r="L24" i="27"/>
  <c r="F12" i="27"/>
  <c r="F16" i="27" s="1"/>
  <c r="F30" i="27" s="1"/>
  <c r="G5" i="27" s="1"/>
  <c r="G26" i="25"/>
  <c r="F30" i="25"/>
  <c r="E34" i="25" s="1"/>
  <c r="L24" i="24"/>
  <c r="F12" i="25"/>
  <c r="F15" i="25" s="1"/>
  <c r="F14" i="24"/>
  <c r="E42" i="25"/>
  <c r="G4" i="25" s="1"/>
  <c r="L32" i="25"/>
  <c r="L29" i="25"/>
  <c r="L26" i="25"/>
  <c r="F25" i="24"/>
  <c r="E29" i="24" s="1"/>
  <c r="E37" i="24"/>
  <c r="G4" i="24" s="1"/>
  <c r="F25" i="50" l="1"/>
  <c r="F38" i="50" s="1"/>
  <c r="G5" i="50" s="1"/>
  <c r="G6" i="50" s="1"/>
  <c r="G7" i="50" s="1"/>
  <c r="F25" i="49"/>
  <c r="F38" i="49" s="1"/>
  <c r="G5" i="49" s="1"/>
  <c r="G6" i="49" s="1"/>
  <c r="G7" i="49" s="1"/>
  <c r="G24" i="48"/>
  <c r="G38" i="48"/>
  <c r="G6" i="48"/>
  <c r="G7" i="48" s="1"/>
  <c r="F24" i="47"/>
  <c r="F37" i="47" s="1"/>
  <c r="G5" i="47" s="1"/>
  <c r="G6" i="47" s="1"/>
  <c r="G7" i="47" s="1"/>
  <c r="G23" i="46"/>
  <c r="G36" i="46"/>
  <c r="G6" i="46"/>
  <c r="G7" i="46" s="1"/>
  <c r="F23" i="44"/>
  <c r="G23" i="44" s="1"/>
  <c r="F22" i="43"/>
  <c r="F35" i="43" s="1"/>
  <c r="G5" i="43" s="1"/>
  <c r="G6" i="43" s="1"/>
  <c r="G7" i="43" s="1"/>
  <c r="G22" i="43"/>
  <c r="F22" i="42"/>
  <c r="F36" i="42" s="1"/>
  <c r="G5" i="42" s="1"/>
  <c r="G6" i="42" s="1"/>
  <c r="G7" i="42" s="1"/>
  <c r="F21" i="40"/>
  <c r="F34" i="40" s="1"/>
  <c r="G5" i="40" s="1"/>
  <c r="G6" i="40" s="1"/>
  <c r="G7" i="40" s="1"/>
  <c r="F21" i="39"/>
  <c r="F34" i="39" s="1"/>
  <c r="G5" i="39" s="1"/>
  <c r="G6" i="39" s="1"/>
  <c r="G7" i="39" s="1"/>
  <c r="F20" i="38"/>
  <c r="G20" i="38" s="1"/>
  <c r="F20" i="37"/>
  <c r="F34" i="37" s="1"/>
  <c r="G5" i="37" s="1"/>
  <c r="G6" i="37" s="1"/>
  <c r="G7" i="37" s="1"/>
  <c r="G33" i="36"/>
  <c r="G19" i="36"/>
  <c r="G6" i="36"/>
  <c r="G7" i="36" s="1"/>
  <c r="F19" i="35"/>
  <c r="F33" i="35" s="1"/>
  <c r="G5" i="35" s="1"/>
  <c r="G6" i="35" s="1"/>
  <c r="G7" i="35" s="1"/>
  <c r="F18" i="34"/>
  <c r="F34" i="34" s="1"/>
  <c r="G5" i="34" s="1"/>
  <c r="G6" i="34" s="1"/>
  <c r="G7" i="34" s="1"/>
  <c r="F18" i="33"/>
  <c r="F32" i="33" s="1"/>
  <c r="G5" i="33" s="1"/>
  <c r="G6" i="33" s="1"/>
  <c r="G7" i="33" s="1"/>
  <c r="F17" i="32"/>
  <c r="F31" i="32" s="1"/>
  <c r="G5" i="32" s="1"/>
  <c r="G6" i="32" s="1"/>
  <c r="G7" i="32" s="1"/>
  <c r="F17" i="31"/>
  <c r="F30" i="31" s="1"/>
  <c r="G5" i="31" s="1"/>
  <c r="G6" i="31" s="1"/>
  <c r="G7" i="31" s="1"/>
  <c r="F17" i="30"/>
  <c r="F31" i="30" s="1"/>
  <c r="G5" i="30" s="1"/>
  <c r="G6" i="30" s="1"/>
  <c r="G7" i="30" s="1"/>
  <c r="F17" i="28"/>
  <c r="F30" i="28" s="1"/>
  <c r="G5" i="28" s="1"/>
  <c r="G6" i="28" s="1"/>
  <c r="G7" i="28" s="1"/>
  <c r="G16" i="27"/>
  <c r="G30" i="27"/>
  <c r="G6" i="27"/>
  <c r="G7" i="27" s="1"/>
  <c r="F32" i="25"/>
  <c r="G5" i="25" s="1"/>
  <c r="G6" i="25" s="1"/>
  <c r="G7" i="25" s="1"/>
  <c r="G15" i="25"/>
  <c r="F27" i="24"/>
  <c r="G5" i="24" s="1"/>
  <c r="G6" i="24" s="1"/>
  <c r="G7" i="24" s="1"/>
  <c r="G38" i="50" l="1"/>
  <c r="G25" i="50"/>
  <c r="G38" i="49"/>
  <c r="G25" i="49"/>
  <c r="G37" i="47"/>
  <c r="G24" i="47"/>
  <c r="F36" i="44"/>
  <c r="G5" i="44" s="1"/>
  <c r="G6" i="44" s="1"/>
  <c r="G7" i="44" s="1"/>
  <c r="G35" i="43"/>
  <c r="G36" i="42"/>
  <c r="G22" i="42"/>
  <c r="G21" i="40"/>
  <c r="G34" i="40"/>
  <c r="G21" i="39"/>
  <c r="G34" i="39"/>
  <c r="F33" i="38"/>
  <c r="G5" i="38" s="1"/>
  <c r="G6" i="38" s="1"/>
  <c r="G7" i="38" s="1"/>
  <c r="G20" i="37"/>
  <c r="G34" i="37"/>
  <c r="G19" i="35"/>
  <c r="G33" i="35"/>
  <c r="G34" i="34"/>
  <c r="G18" i="34"/>
  <c r="G32" i="33"/>
  <c r="G18" i="33"/>
  <c r="G31" i="32"/>
  <c r="G17" i="32"/>
  <c r="G17" i="31"/>
  <c r="G30" i="31"/>
  <c r="G17" i="30"/>
  <c r="G31" i="30"/>
  <c r="G17" i="28"/>
  <c r="G30" i="28"/>
  <c r="G32" i="25"/>
  <c r="G14" i="24"/>
  <c r="G27" i="24"/>
  <c r="G36" i="44" l="1"/>
  <c r="G33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5" authorId="0" shapeId="0" xr:uid="{01182D5D-CC7B-4711-B4B2-9D70D1559BB6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C42BB7D1-E78C-4526-9A67-0CDDEDAB0CC4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FBAD4B59-6249-4DDD-9FD3-E60B7DE6196D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3D17EC10-189D-48C6-B5C7-101B0B0F07FB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4462307C-04BB-4CE3-927A-61D53FD78C41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3354E710-617E-4DC9-9AA1-CC4BC155BB1B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0F01D23E-5855-4811-A6D4-AB0568E8EEA0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D0F843BC-E2A3-4825-905C-89CB3A334392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659C0ED6-613A-43E8-A5CA-088A0B92F7E3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AA27B8C2-8F08-4E19-BA35-9059DF27B2E1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049684B6-FCA2-4387-8439-32A5FAF7479E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80D546D6-9BA9-4EF1-9E01-0CF158B9E968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66D25BEA-A456-499D-B5D4-3941E39FD5E1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D35AAC75-1198-48ED-B3AB-DC378BDEDA02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8E7D9E24-BCEE-4BDB-AE79-6FAB88ADEFE9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B332F385-2F90-4E3C-8353-B9D571B2EE9D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591247D1-D917-47D4-BCF6-C9D1466ADDDC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26B6FCD4-A233-4B83-A12E-BBCFEBF18493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9" authorId="0" shapeId="0" xr:uid="{5144C6BE-81BA-41E7-94D6-653A26092DD6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BA2E6BC2-58BB-4F02-91BA-39888E93002C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9" authorId="0" shapeId="0" xr:uid="{129ECE64-6D18-4396-A1AE-0ED02F912279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6CFD91F9-744D-45DF-B687-C0B888D499C9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0892071D-546E-4292-896D-632A87C9EFE2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<sst xmlns="http://schemas.openxmlformats.org/spreadsheetml/2006/main" count="1397" uniqueCount="219">
  <si>
    <t>NO</t>
  </si>
  <si>
    <t>:</t>
  </si>
  <si>
    <t>LIMIT LK :</t>
  </si>
  <si>
    <t>PERIODE</t>
  </si>
  <si>
    <t xml:space="preserve">PROJECT  </t>
  </si>
  <si>
    <t>Sisa limit LK :</t>
  </si>
  <si>
    <t>Persentasi :</t>
  </si>
  <si>
    <t>SALDO</t>
  </si>
  <si>
    <t>DEBET</t>
  </si>
  <si>
    <t>Ttl LK sampai saat ini :</t>
  </si>
  <si>
    <t>DESKRIPSI</t>
  </si>
  <si>
    <t>LK (Terpakai)</t>
  </si>
  <si>
    <t>Tanggal</t>
  </si>
  <si>
    <t>Total dibayarkan :</t>
  </si>
  <si>
    <t>Saldo Terpakai Sebelumnya</t>
  </si>
  <si>
    <t>Total saldo LK terpakai sampai saat ini :</t>
  </si>
  <si>
    <t>Note:</t>
  </si>
  <si>
    <t>Total Transfer</t>
  </si>
  <si>
    <t>Nama Bank</t>
  </si>
  <si>
    <t>Mandiri</t>
  </si>
  <si>
    <t>No. Rek</t>
  </si>
  <si>
    <t xml:space="preserve">Modal Awal 1 : </t>
  </si>
  <si>
    <t>Kasbon 1</t>
  </si>
  <si>
    <t xml:space="preserve">RAP </t>
  </si>
  <si>
    <t>Kasbon 2</t>
  </si>
  <si>
    <t>Kasbon 3</t>
  </si>
  <si>
    <t>Diterima :</t>
  </si>
  <si>
    <t>Kasbon (Terpakai/ Nominal)</t>
  </si>
  <si>
    <t>Modal Awal</t>
  </si>
  <si>
    <t>Debet</t>
  </si>
  <si>
    <t>Sisa Kasbon</t>
  </si>
  <si>
    <t>No LK</t>
  </si>
  <si>
    <t>LK Reimburse Saat Ini</t>
  </si>
  <si>
    <t>01 - LK/2022/X/004</t>
  </si>
  <si>
    <t>Multi-Lane Flow Toll Collection In Indonesia - Gantry Toll (Pilot Project ID 128)</t>
  </si>
  <si>
    <t>01 Mei 2022 - 31 Juli 2022</t>
  </si>
  <si>
    <t>LK.01 - LK/2022/X/004 - 01 Mei 2022 - 31 Jul 2022</t>
  </si>
  <si>
    <t>02 - LK/2022/X/005</t>
  </si>
  <si>
    <t>01 Agustus 2022 - 31 Agustus 2022</t>
  </si>
  <si>
    <t>LK 01</t>
  </si>
  <si>
    <t>01 Mei s/d 31 Jul 2022 (LK/2022/X/004)</t>
  </si>
  <si>
    <r>
      <rPr>
        <sz val="13"/>
        <rFont val="Comic Sans MS"/>
        <family val="4"/>
      </rPr>
      <t>KB 1 Ivan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5.000.000)</t>
    </r>
  </si>
  <si>
    <r>
      <rPr>
        <sz val="13"/>
        <rFont val="Comic Sans MS"/>
        <family val="4"/>
      </rPr>
      <t>KB 2 Ivan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3.000.000)</t>
    </r>
  </si>
  <si>
    <r>
      <rPr>
        <sz val="13"/>
        <rFont val="Comic Sans MS"/>
        <family val="4"/>
      </rPr>
      <t>KB 3 Ivan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30.000.000)</t>
    </r>
  </si>
  <si>
    <r>
      <rPr>
        <sz val="13"/>
        <rFont val="Comic Sans MS"/>
        <family val="4"/>
      </rPr>
      <t>KB 1-2 Ivan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8.000.000/ </t>
    </r>
    <r>
      <rPr>
        <sz val="13"/>
        <rFont val="Comic Sans MS"/>
        <family val="4"/>
      </rPr>
      <t>8.000.000)</t>
    </r>
  </si>
  <si>
    <t>LK.02 - LK/2022/X/005 - 01 Ags 2022 - 31 Ags 2022</t>
  </si>
  <si>
    <r>
      <rPr>
        <sz val="13"/>
        <rFont val="Comic Sans MS"/>
        <family val="4"/>
      </rPr>
      <t>KB 3 Ivan (</t>
    </r>
    <r>
      <rPr>
        <sz val="13"/>
        <color rgb="FFFF0000"/>
        <rFont val="Comic Sans MS"/>
        <family val="4"/>
      </rPr>
      <t xml:space="preserve">4.191.281/ </t>
    </r>
    <r>
      <rPr>
        <sz val="13"/>
        <rFont val="Comic Sans MS"/>
        <family val="4"/>
      </rPr>
      <t>30.000.000)</t>
    </r>
  </si>
  <si>
    <r>
      <rPr>
        <sz val="13"/>
        <rFont val="Comic Sans MS"/>
        <family val="4"/>
      </rPr>
      <t>KB 1 Khamid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5.000.000)</t>
    </r>
  </si>
  <si>
    <r>
      <rPr>
        <sz val="13"/>
        <rFont val="Comic Sans MS"/>
        <family val="4"/>
      </rPr>
      <t>KB 1-3 Meko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12.956.100)</t>
    </r>
  </si>
  <si>
    <t>08-27 Sep</t>
  </si>
  <si>
    <t>17-22 Sep</t>
  </si>
  <si>
    <r>
      <rPr>
        <sz val="13"/>
        <rFont val="Comic Sans MS"/>
        <family val="4"/>
      </rPr>
      <t>KB 4-6 Ivan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80.000.000)</t>
    </r>
  </si>
  <si>
    <t>08-13 Okt</t>
  </si>
  <si>
    <r>
      <rPr>
        <sz val="13"/>
        <rFont val="Comic Sans MS"/>
        <family val="4"/>
      </rPr>
      <t>KB 7-9 Ivan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36.318.102)</t>
    </r>
  </si>
  <si>
    <r>
      <rPr>
        <sz val="13"/>
        <rFont val="Comic Sans MS"/>
        <family val="4"/>
      </rPr>
      <t>KB 10 Ivan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27.392.700)</t>
    </r>
  </si>
  <si>
    <t>140.001.120.9468 (a/n Daniel Ivan Sebastian)</t>
  </si>
  <si>
    <t>03 - LK/2022/X/006</t>
  </si>
  <si>
    <t>01 September 2022 - 15 September 2022</t>
  </si>
  <si>
    <t>LK 02</t>
  </si>
  <si>
    <t>01 Ags s/d 31 Ags 2022 (LK/2022/X/005)</t>
  </si>
  <si>
    <r>
      <rPr>
        <sz val="13"/>
        <rFont val="Comic Sans MS"/>
        <family val="4"/>
      </rPr>
      <t>KB 10 Ivan (</t>
    </r>
    <r>
      <rPr>
        <sz val="13"/>
        <color rgb="FFFF0000"/>
        <rFont val="Comic Sans MS"/>
        <family val="4"/>
      </rPr>
      <t xml:space="preserve">12.695.463/ </t>
    </r>
    <r>
      <rPr>
        <sz val="13"/>
        <rFont val="Comic Sans MS"/>
        <family val="4"/>
      </rPr>
      <t>27.392.700)</t>
    </r>
  </si>
  <si>
    <r>
      <rPr>
        <sz val="13"/>
        <rFont val="Comic Sans MS"/>
        <family val="4"/>
      </rPr>
      <t>KB 1-9 Ivan, KB 1-3 Meko, KB 1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172.274.202/ </t>
    </r>
    <r>
      <rPr>
        <sz val="13"/>
        <rFont val="Comic Sans MS"/>
        <family val="4"/>
      </rPr>
      <t>172.274.202)</t>
    </r>
  </si>
  <si>
    <r>
      <t>KB 2-3 Khamid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20.000.000)</t>
    </r>
  </si>
  <si>
    <r>
      <t>KB 4 Khamid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45.000.000)</t>
    </r>
  </si>
  <si>
    <t>17-19 Ags 22</t>
  </si>
  <si>
    <t>04 - LK/2022/X/007</t>
  </si>
  <si>
    <t>LK 03</t>
  </si>
  <si>
    <t>01 Sep s/d 15 Sep 2022 (LK/2022/X/006)</t>
  </si>
  <si>
    <r>
      <rPr>
        <sz val="13"/>
        <rFont val="Comic Sans MS"/>
        <family val="4"/>
      </rPr>
      <t>KB 1-10 Ivan, KB 1-3 Meko, KB 1-3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219.666.902/ </t>
    </r>
    <r>
      <rPr>
        <sz val="13"/>
        <rFont val="Comic Sans MS"/>
        <family val="4"/>
      </rPr>
      <t>219.666.902)</t>
    </r>
  </si>
  <si>
    <r>
      <t>KB 4 Khamid (</t>
    </r>
    <r>
      <rPr>
        <sz val="13"/>
        <color rgb="FFFF0000"/>
        <rFont val="Comic Sans MS"/>
        <family val="4"/>
      </rPr>
      <t>19.164.836,89/</t>
    </r>
    <r>
      <rPr>
        <sz val="13"/>
        <rFont val="Comic Sans MS"/>
        <family val="4"/>
      </rPr>
      <t xml:space="preserve"> 45.000.000)</t>
    </r>
  </si>
  <si>
    <r>
      <t>KB 5 Khamid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35.000.000)</t>
    </r>
  </si>
  <si>
    <t>LK.03 - LK/2022/X/006 - 01 Sep 2022 - 15 Sep 2022</t>
  </si>
  <si>
    <t>16 September 2022 - 30 September 2022</t>
  </si>
  <si>
    <t>LK.04 - LK/2022/X/007 - 16 Sep 2022 - 30 Sep 2022</t>
  </si>
  <si>
    <t>01 Oktober 2022 - 15 Oktober 2022</t>
  </si>
  <si>
    <t>LK 03 - 04</t>
  </si>
  <si>
    <t>01 Sep s/d 30 Sep 2022 (LK/2022/X/006, LK/2022/X007)</t>
  </si>
  <si>
    <t>LK.05 - LK/2022/XI/004 - 01 Okt 2022 - 15 Okt 2022</t>
  </si>
  <si>
    <r>
      <rPr>
        <sz val="13"/>
        <rFont val="Comic Sans MS"/>
        <family val="4"/>
      </rPr>
      <t>KB 1-10 Ivan, KB 1-3 Meko, KB 1-4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219.666.902/ </t>
    </r>
    <r>
      <rPr>
        <sz val="13"/>
        <rFont val="Comic Sans MS"/>
        <family val="4"/>
      </rPr>
      <t>264.666.902)</t>
    </r>
  </si>
  <si>
    <r>
      <t>KB 6 Khamid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50.000.000)</t>
    </r>
  </si>
  <si>
    <r>
      <t>KB 5 Khamid (</t>
    </r>
    <r>
      <rPr>
        <sz val="13"/>
        <color rgb="FFFF0000"/>
        <rFont val="Comic Sans MS"/>
        <family val="4"/>
      </rPr>
      <t>23.661.805,29/</t>
    </r>
    <r>
      <rPr>
        <sz val="13"/>
        <rFont val="Comic Sans MS"/>
        <family val="4"/>
      </rPr>
      <t xml:space="preserve"> 35.000.000)</t>
    </r>
  </si>
  <si>
    <r>
      <t>KB 7 Khamid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35.000.000)</t>
    </r>
  </si>
  <si>
    <t>05 - LK/2022/XI/004</t>
  </si>
  <si>
    <t>06 - LK/2022/XI/006</t>
  </si>
  <si>
    <t>16 Oktober 2022 - 31 Oktober 2022</t>
  </si>
  <si>
    <t>LK.06 - LK/2022/XI/006 - 16 Okt 2022 - 31 Okt 2022</t>
  </si>
  <si>
    <t>LK 05</t>
  </si>
  <si>
    <t>01 Okt s/d 15 Okt 2022 (LK/2022/XI/004)</t>
  </si>
  <si>
    <r>
      <t>KB 7 Khamid (</t>
    </r>
    <r>
      <rPr>
        <sz val="13"/>
        <color rgb="FFFF0000"/>
        <rFont val="Comic Sans MS"/>
        <family val="4"/>
      </rPr>
      <t>19.914.242,29/</t>
    </r>
    <r>
      <rPr>
        <sz val="13"/>
        <rFont val="Comic Sans MS"/>
        <family val="4"/>
      </rPr>
      <t xml:space="preserve"> 35.000.000)</t>
    </r>
  </si>
  <si>
    <t>09-Sep-08-Okt</t>
  </si>
  <si>
    <r>
      <t>KB 8-11 Khamid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50.985.790)</t>
    </r>
  </si>
  <si>
    <r>
      <rPr>
        <sz val="13"/>
        <rFont val="Comic Sans MS"/>
        <family val="4"/>
      </rPr>
      <t>KB 1-10 Ivan, KB 1-3 Meko, KB 1-6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219.666.902/ </t>
    </r>
    <r>
      <rPr>
        <sz val="13"/>
        <rFont val="Comic Sans MS"/>
        <family val="4"/>
      </rPr>
      <t>349.666.902)</t>
    </r>
  </si>
  <si>
    <r>
      <t>KB 8-11 Khamid (</t>
    </r>
    <r>
      <rPr>
        <sz val="13"/>
        <color rgb="FFFF0000"/>
        <rFont val="Comic Sans MS"/>
        <family val="4"/>
      </rPr>
      <t>47.744.852,29/</t>
    </r>
    <r>
      <rPr>
        <sz val="13"/>
        <rFont val="Comic Sans MS"/>
        <family val="4"/>
      </rPr>
      <t xml:space="preserve"> 50.985.790)</t>
    </r>
  </si>
  <si>
    <r>
      <rPr>
        <sz val="13"/>
        <rFont val="Comic Sans MS"/>
        <family val="4"/>
      </rPr>
      <t>KB 1-10 Ivan, KB 1-3 Meko, KB 1-7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>219.666.902/</t>
    </r>
    <r>
      <rPr>
        <sz val="13"/>
        <rFont val="Comic Sans MS"/>
        <family val="4"/>
      </rPr>
      <t xml:space="preserve"> 384.666.902)</t>
    </r>
  </si>
  <si>
    <t>07 - LK/2022/XII/001</t>
  </si>
  <si>
    <t>01 November 2022 - 16 November 2022</t>
  </si>
  <si>
    <t>LK.07 - LK/2022/XII/001 - 01 Nov 2022 - 16 Nov 2022</t>
  </si>
  <si>
    <r>
      <t>KB 11 Ivan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40.000.000)</t>
    </r>
  </si>
  <si>
    <t>LK 05 - 06</t>
  </si>
  <si>
    <t>01 Okt s/d 31 Okt 2022 (LK/2022/XI/004, LK/2022/XI/006)</t>
  </si>
  <si>
    <t>08 - LK/2022/XII/002</t>
  </si>
  <si>
    <t>16 November 2022 - 30 November 2022</t>
  </si>
  <si>
    <t>LK.08 - LK/2022/XII/002 - 16 Nov 2022 - 30 Nov 2022</t>
  </si>
  <si>
    <r>
      <rPr>
        <sz val="13"/>
        <rFont val="Comic Sans MS"/>
        <family val="4"/>
      </rPr>
      <t>KB 1-10 Ivan, KB 1-3 Meko, KB 1-11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>219.666.902/</t>
    </r>
    <r>
      <rPr>
        <sz val="13"/>
        <rFont val="Comic Sans MS"/>
        <family val="4"/>
      </rPr>
      <t xml:space="preserve"> 435.652.692)</t>
    </r>
  </si>
  <si>
    <r>
      <t>KB 11 Ivan (</t>
    </r>
    <r>
      <rPr>
        <sz val="13"/>
        <color rgb="FFFF0000"/>
        <rFont val="Comic Sans MS"/>
        <family val="4"/>
      </rPr>
      <t>31.214.785,29/</t>
    </r>
    <r>
      <rPr>
        <sz val="13"/>
        <rFont val="Comic Sans MS"/>
        <family val="4"/>
      </rPr>
      <t xml:space="preserve"> 40.000.000)</t>
    </r>
  </si>
  <si>
    <r>
      <t>KB 12 Ivan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20.000.000)</t>
    </r>
  </si>
  <si>
    <r>
      <t>KB 13 Ivan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30.000.000)</t>
    </r>
  </si>
  <si>
    <t>LK 07</t>
  </si>
  <si>
    <t>01 Nov s/d 15 Nov 2022 (LK/2022/XII/001)</t>
  </si>
  <si>
    <t>LK 07-08</t>
  </si>
  <si>
    <t>01 Nov s/d 30 Nov 2022 (LK/2022/XII/001, LK/2022/XII/001)</t>
  </si>
  <si>
    <r>
      <rPr>
        <sz val="13"/>
        <rFont val="Comic Sans MS"/>
        <family val="4"/>
      </rPr>
      <t>KB 1-12 Ivan, KB 1-3 Meko, KB 1-11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>495.652.692/</t>
    </r>
    <r>
      <rPr>
        <sz val="13"/>
        <rFont val="Comic Sans MS"/>
        <family val="4"/>
      </rPr>
      <t xml:space="preserve"> 495.652.692)</t>
    </r>
  </si>
  <si>
    <r>
      <t>KB 13 Ivan (</t>
    </r>
    <r>
      <rPr>
        <sz val="13"/>
        <color rgb="FFFF0000"/>
        <rFont val="Comic Sans MS"/>
        <family val="4"/>
      </rPr>
      <t>3.029.612,19/</t>
    </r>
    <r>
      <rPr>
        <sz val="13"/>
        <rFont val="Comic Sans MS"/>
        <family val="4"/>
      </rPr>
      <t xml:space="preserve"> 30.000.000)</t>
    </r>
  </si>
  <si>
    <r>
      <t>KB 14 Ivan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22.500.000)</t>
    </r>
  </si>
  <si>
    <r>
      <t>KB 15 Ivan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17.599.900)</t>
    </r>
  </si>
  <si>
    <r>
      <t>KB 16 Ivan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9.700.717)</t>
    </r>
  </si>
  <si>
    <t>01 Desember 2022 - 15 Desember 2022</t>
  </si>
  <si>
    <t>16 Desember 2022 - 31 Desember 2022</t>
  </si>
  <si>
    <t>LK 09</t>
  </si>
  <si>
    <t>01 Nov s/d 30 Nov 2022 (LK/2022/XII/001, LK/2022/XII/002)</t>
  </si>
  <si>
    <t>LK.09 - LK/2023/II/003 - 01 Des 2022 - 15 Des 2022</t>
  </si>
  <si>
    <r>
      <rPr>
        <sz val="13"/>
        <rFont val="Comic Sans MS"/>
        <family val="4"/>
      </rPr>
      <t>KB 1-15 Ivan, KB 1-3 Meko, KB 1-11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>535.752.592/</t>
    </r>
    <r>
      <rPr>
        <sz val="13"/>
        <rFont val="Comic Sans MS"/>
        <family val="4"/>
      </rPr>
      <t xml:space="preserve"> 535.752.592)</t>
    </r>
  </si>
  <si>
    <r>
      <t>KB 16 Ivan (</t>
    </r>
    <r>
      <rPr>
        <sz val="13"/>
        <color rgb="FFFF0000"/>
        <rFont val="Comic Sans MS"/>
        <family val="4"/>
      </rPr>
      <t>6.494.509.19/</t>
    </r>
    <r>
      <rPr>
        <sz val="13"/>
        <rFont val="Comic Sans MS"/>
        <family val="4"/>
      </rPr>
      <t xml:space="preserve"> 9.700.717)</t>
    </r>
  </si>
  <si>
    <r>
      <t>KB 17 Ivan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10.000.000)</t>
    </r>
  </si>
  <si>
    <r>
      <t>KB 18 Ivan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10.000.000)</t>
    </r>
  </si>
  <si>
    <t>LK 09 - 10</t>
  </si>
  <si>
    <t>01 Januari 2023 - 15 Januari 2023</t>
  </si>
  <si>
    <t>LK.10 - LK/2023/II/004 - 16 Des 2022 - 31 Des 2022</t>
  </si>
  <si>
    <t>LK.11 - LK/2023/II/005 - 01 Jan 2023 - 15 Jan 2023</t>
  </si>
  <si>
    <r>
      <t>KB 18 Ivan (</t>
    </r>
    <r>
      <rPr>
        <sz val="13"/>
        <color rgb="FFFF0000"/>
        <rFont val="Comic Sans MS"/>
        <family val="4"/>
      </rPr>
      <t>8.087.121,19/</t>
    </r>
    <r>
      <rPr>
        <sz val="13"/>
        <rFont val="Comic Sans MS"/>
        <family val="4"/>
      </rPr>
      <t xml:space="preserve"> 10.000.000)</t>
    </r>
  </si>
  <si>
    <r>
      <t>KB 19 Ivan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15.941.803)</t>
    </r>
  </si>
  <si>
    <t>16 Januari 2023 - 31 Januari 2023</t>
  </si>
  <si>
    <t>LK.12 - LK/2023/III/004 - 16 Jan 2023 - 31 Jan 2023</t>
  </si>
  <si>
    <r>
      <t>KB 19 Ivan (</t>
    </r>
    <r>
      <rPr>
        <sz val="13"/>
        <color rgb="FFFF0000"/>
        <rFont val="Comic Sans MS"/>
        <family val="4"/>
      </rPr>
      <t>9.442.250,19/</t>
    </r>
    <r>
      <rPr>
        <sz val="13"/>
        <rFont val="Comic Sans MS"/>
        <family val="4"/>
      </rPr>
      <t xml:space="preserve"> 15.941.803)</t>
    </r>
  </si>
  <si>
    <r>
      <rPr>
        <sz val="13"/>
        <rFont val="Comic Sans MS"/>
        <family val="4"/>
      </rPr>
      <t>KB 1-17 Ivan, KB 1-3 Meko, KB 1-11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>555.453.309/</t>
    </r>
    <r>
      <rPr>
        <sz val="13"/>
        <rFont val="Comic Sans MS"/>
        <family val="4"/>
      </rPr>
      <t xml:space="preserve"> 555.453.309)</t>
    </r>
  </si>
  <si>
    <r>
      <rPr>
        <sz val="13"/>
        <rFont val="Comic Sans MS"/>
        <family val="4"/>
      </rPr>
      <t>KB 1-18 Ivan, KB 1-3 Meko, KB 1-11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>565.453.309/</t>
    </r>
    <r>
      <rPr>
        <sz val="13"/>
        <rFont val="Comic Sans MS"/>
        <family val="4"/>
      </rPr>
      <t xml:space="preserve"> 565.453.309)</t>
    </r>
  </si>
  <si>
    <r>
      <t>KB 20 Ivan (</t>
    </r>
    <r>
      <rPr>
        <sz val="13"/>
        <color rgb="FFFF0000"/>
        <rFont val="Comic Sans MS"/>
        <family val="4"/>
      </rPr>
      <t>0/</t>
    </r>
    <r>
      <rPr>
        <sz val="13"/>
        <rFont val="Comic Sans MS"/>
        <family val="4"/>
      </rPr>
      <t xml:space="preserve"> 75.000.000)</t>
    </r>
  </si>
  <si>
    <t>LK 11</t>
  </si>
  <si>
    <t>01 Februari 2023 - 15 Februari 2023</t>
  </si>
  <si>
    <r>
      <rPr>
        <sz val="13"/>
        <rFont val="Comic Sans MS"/>
        <family val="4"/>
      </rPr>
      <t>KB 1-18 Ivan, KB 1-3 Meko, KB 1-11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>581.395.112/</t>
    </r>
    <r>
      <rPr>
        <sz val="13"/>
        <rFont val="Comic Sans MS"/>
        <family val="4"/>
      </rPr>
      <t xml:space="preserve"> 581.395.112)</t>
    </r>
  </si>
  <si>
    <r>
      <t>KB 20 Ivan (</t>
    </r>
    <r>
      <rPr>
        <sz val="13"/>
        <color rgb="FFFF0000"/>
        <rFont val="Comic Sans MS"/>
        <family val="4"/>
      </rPr>
      <t>8.284.383,19/</t>
    </r>
    <r>
      <rPr>
        <sz val="13"/>
        <rFont val="Comic Sans MS"/>
        <family val="4"/>
      </rPr>
      <t xml:space="preserve"> 75.000.000)</t>
    </r>
  </si>
  <si>
    <t>LK 11 - 12</t>
  </si>
  <si>
    <t>01 Jan s/d 31 Jan 2023 (LK/2023/II/005, LK/2023/III/004)</t>
  </si>
  <si>
    <t>01 Des s/d 31 Des 2022 (LK/2023/II/003, LK/2023/II/004)</t>
  </si>
  <si>
    <t>01 Jan s/d 15 Jan 2023 (LK/2023/II/005)</t>
  </si>
  <si>
    <t>01 Des s/d 15 Des 2022 (LK/2023/II/003)</t>
  </si>
  <si>
    <t>LK.13 - LK/2023/III/011 - 01 Feb 2023 - 15 Feb 2023</t>
  </si>
  <si>
    <t>16 Februari 2023 - 07 Maret 2023</t>
  </si>
  <si>
    <t>LK.14 - LK/2023/III/012 - 16 Feb 2023 - 07 Mar 2023</t>
  </si>
  <si>
    <r>
      <t>KB 20 Ivan (</t>
    </r>
    <r>
      <rPr>
        <sz val="13"/>
        <color rgb="FFFF0000"/>
        <rFont val="Comic Sans MS"/>
        <family val="4"/>
      </rPr>
      <t>23.985.635,59/</t>
    </r>
    <r>
      <rPr>
        <sz val="13"/>
        <rFont val="Comic Sans MS"/>
        <family val="4"/>
      </rPr>
      <t xml:space="preserve"> 75.000.000)</t>
    </r>
  </si>
  <si>
    <t>LK 13</t>
  </si>
  <si>
    <t>01 Feb s/d 15 Feb 2023 (LK/2023/III/011)</t>
  </si>
  <si>
    <t>16 Agustus 2022 - 07 November 2022</t>
  </si>
  <si>
    <t>LK.15 - LK/2023/III/005 - 16 Ags 2022 - 30 Nov 2022</t>
  </si>
  <si>
    <r>
      <t>KB 20 Ivan (</t>
    </r>
    <r>
      <rPr>
        <sz val="13"/>
        <color rgb="FFFF0000"/>
        <rFont val="Comic Sans MS"/>
        <family val="4"/>
      </rPr>
      <t>32.682.427,99/</t>
    </r>
    <r>
      <rPr>
        <sz val="13"/>
        <rFont val="Comic Sans MS"/>
        <family val="4"/>
      </rPr>
      <t xml:space="preserve"> 75.000.000)</t>
    </r>
  </si>
  <si>
    <t>LK 13 - 14</t>
  </si>
  <si>
    <t>01 Feb s/d 07 Mar 2023 (LK/2023/III/011, LK/2023/III/012)</t>
  </si>
  <si>
    <r>
      <t>KB 20 Ivan (</t>
    </r>
    <r>
      <rPr>
        <sz val="13"/>
        <color rgb="FFFF0000"/>
        <rFont val="Comic Sans MS"/>
        <family val="4"/>
      </rPr>
      <t>51.810.979,99/</t>
    </r>
    <r>
      <rPr>
        <sz val="13"/>
        <rFont val="Comic Sans MS"/>
        <family val="4"/>
      </rPr>
      <t xml:space="preserve"> 75.000.000)</t>
    </r>
  </si>
  <si>
    <t>09 - LK/2023/II/003</t>
  </si>
  <si>
    <t>10 - LK/2023/II/004</t>
  </si>
  <si>
    <t>11 - LK/2023/II/005</t>
  </si>
  <si>
    <t>12 - LK/2023/III/004</t>
  </si>
  <si>
    <t>13 - LK/2023/III/011</t>
  </si>
  <si>
    <t>14 - LK/2023/III/012</t>
  </si>
  <si>
    <t>15 - LK/2023/III/005</t>
  </si>
  <si>
    <t>21 Desember 2022 - 08 April 2023</t>
  </si>
  <si>
    <t>LK 15</t>
  </si>
  <si>
    <t>17 Ags s/d 07 Nov 2023 (LK/2023/III/05)</t>
  </si>
  <si>
    <t>LK.16 - LK/2023/V/003 - 21 Des 2022 - 08 Apr 2023</t>
  </si>
  <si>
    <r>
      <t>KB 20 Ivan (</t>
    </r>
    <r>
      <rPr>
        <sz val="13"/>
        <color rgb="FFFF0000"/>
        <rFont val="Comic Sans MS"/>
        <family val="4"/>
      </rPr>
      <t>52.305.979,99/</t>
    </r>
    <r>
      <rPr>
        <sz val="13"/>
        <rFont val="Comic Sans MS"/>
        <family val="4"/>
      </rPr>
      <t xml:space="preserve"> 75.000.000)</t>
    </r>
  </si>
  <si>
    <r>
      <t>KB 21 Ivan (</t>
    </r>
    <r>
      <rPr>
        <sz val="13"/>
        <color rgb="FFFF0000"/>
        <rFont val="Comic Sans MS"/>
        <family val="4"/>
      </rPr>
      <t>0</t>
    </r>
    <r>
      <rPr>
        <sz val="13"/>
        <rFont val="Comic Sans MS"/>
        <family val="4"/>
      </rPr>
      <t>/ 75.000.000)</t>
    </r>
  </si>
  <si>
    <t>LK 15 - 16</t>
  </si>
  <si>
    <t>17 Ags s/d 08 April 2023 (LK/2023/III/05)</t>
  </si>
  <si>
    <r>
      <t>KB 21 Ivan (</t>
    </r>
    <r>
      <rPr>
        <sz val="13"/>
        <color rgb="FFFF0000"/>
        <rFont val="Comic Sans MS"/>
        <family val="4"/>
      </rPr>
      <t>11.398.217,99</t>
    </r>
    <r>
      <rPr>
        <sz val="13"/>
        <rFont val="Comic Sans MS"/>
        <family val="4"/>
      </rPr>
      <t>/ 75.000.000)</t>
    </r>
  </si>
  <si>
    <t>17 - LK/2023/V/003</t>
  </si>
  <si>
    <t>10 April 2023 - 11 Mei 2023</t>
  </si>
  <si>
    <t>LK.17 - LK/2023/V/008 - 11 Apr 2023 - 10 Mei 2023</t>
  </si>
  <si>
    <r>
      <rPr>
        <sz val="13"/>
        <rFont val="Comic Sans MS"/>
        <family val="4"/>
      </rPr>
      <t>KB 1-20 Ivan, KB 1-3 Meko, KB 1-11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>672.336.915/</t>
    </r>
    <r>
      <rPr>
        <sz val="13"/>
        <rFont val="Comic Sans MS"/>
        <family val="4"/>
      </rPr>
      <t xml:space="preserve"> 672.336.915)</t>
    </r>
  </si>
  <si>
    <t>16 - LK/2023/V/008</t>
  </si>
  <si>
    <t>01 Ags 2022 - 31 Des 2022</t>
  </si>
  <si>
    <t>18 - LK/2023/VI/002</t>
  </si>
  <si>
    <t>LK.18 - LK/2023/VI/002 - 01 Ags 2022 - 31 Des 2022</t>
  </si>
  <si>
    <r>
      <t>KB 21 Ivan (</t>
    </r>
    <r>
      <rPr>
        <sz val="13"/>
        <color rgb="FFFF0000"/>
        <rFont val="Comic Sans MS"/>
        <family val="4"/>
      </rPr>
      <t>25.450.239,99</t>
    </r>
    <r>
      <rPr>
        <sz val="13"/>
        <rFont val="Comic Sans MS"/>
        <family val="4"/>
      </rPr>
      <t>/ 75.000.000)</t>
    </r>
  </si>
  <si>
    <t>LK 17</t>
  </si>
  <si>
    <t>10 Apr s/d 11 Mei 2023 (LK/2023/V/003)</t>
  </si>
  <si>
    <t>19 - LK/2023/VII/005</t>
  </si>
  <si>
    <t>19 Nov 2022 - 14 Jun 2023</t>
  </si>
  <si>
    <t>LK 17 - 18</t>
  </si>
  <si>
    <t>10 Apr s/d 11 Mei 2023 (LK/2023/V/003, LK/2023/VI/002)</t>
  </si>
  <si>
    <r>
      <t>KB 21 Ivan (</t>
    </r>
    <r>
      <rPr>
        <sz val="13"/>
        <color rgb="FFFF0000"/>
        <rFont val="Comic Sans MS"/>
        <family val="4"/>
      </rPr>
      <t>43.299.739,99</t>
    </r>
    <r>
      <rPr>
        <sz val="13"/>
        <rFont val="Comic Sans MS"/>
        <family val="4"/>
      </rPr>
      <t>/ 75.000.000)</t>
    </r>
  </si>
  <si>
    <t>LK.19 - LK/2023/VII/005 - 19 Nov 2022 - 14 Jun 2023</t>
  </si>
  <si>
    <t>20 - LK/2023/VII/006</t>
  </si>
  <si>
    <t>01 Mei 2022 - 31 Jan 2023</t>
  </si>
  <si>
    <r>
      <t>KB 21 Ivan (</t>
    </r>
    <r>
      <rPr>
        <sz val="13"/>
        <color rgb="FFFF0000"/>
        <rFont val="Comic Sans MS"/>
        <family val="4"/>
      </rPr>
      <t>46.240.339,99</t>
    </r>
    <r>
      <rPr>
        <sz val="13"/>
        <rFont val="Comic Sans MS"/>
        <family val="4"/>
      </rPr>
      <t>/ 75.000.000)</t>
    </r>
  </si>
  <si>
    <t>LK.20 - LK/2023/VII/006 - 01 Mei 2022 - 31 Jan 2023</t>
  </si>
  <si>
    <t>LK 19</t>
  </si>
  <si>
    <r>
      <t>19 Nov 22 s/d 14 Jun 23 (LK/2023/VI</t>
    </r>
    <r>
      <rPr>
        <b/>
        <i/>
        <sz val="13"/>
        <color theme="1"/>
        <rFont val="Comic Sans MS"/>
        <family val="4"/>
      </rPr>
      <t>I</t>
    </r>
    <r>
      <rPr>
        <b/>
        <sz val="13"/>
        <color theme="1"/>
        <rFont val="Comic Sans MS"/>
        <family val="4"/>
      </rPr>
      <t>/005)</t>
    </r>
  </si>
  <si>
    <t>21 - LK/2023/VII/008</t>
  </si>
  <si>
    <t>LK.21 - LK/2023/VII/008 - 01 Ags 2022 - 31 Ags 2022</t>
  </si>
  <si>
    <t>01 Ags 2022 - 31 Ags 2022</t>
  </si>
  <si>
    <t>LK 19 - 20</t>
  </si>
  <si>
    <r>
      <t>01 Mei 22 s/d 14 Jun 23 (LK/2023/VI</t>
    </r>
    <r>
      <rPr>
        <b/>
        <i/>
        <sz val="13"/>
        <color theme="1"/>
        <rFont val="Comic Sans MS"/>
        <family val="4"/>
      </rPr>
      <t>I</t>
    </r>
    <r>
      <rPr>
        <b/>
        <sz val="13"/>
        <color theme="1"/>
        <rFont val="Comic Sans MS"/>
        <family val="4"/>
      </rPr>
      <t>/005, LK/2023/VII/006)</t>
    </r>
  </si>
  <si>
    <r>
      <t>KB 21 Ivan (</t>
    </r>
    <r>
      <rPr>
        <sz val="13"/>
        <color rgb="FFFF0000"/>
        <rFont val="Comic Sans MS"/>
        <family val="4"/>
      </rPr>
      <t>67.240.339,99</t>
    </r>
    <r>
      <rPr>
        <sz val="13"/>
        <rFont val="Comic Sans MS"/>
        <family val="4"/>
      </rPr>
      <t>/ 75.000.000)</t>
    </r>
  </si>
  <si>
    <r>
      <t>KB 22 Ivan (</t>
    </r>
    <r>
      <rPr>
        <sz val="13"/>
        <color rgb="FFFF0000"/>
        <rFont val="Comic Sans MS"/>
        <family val="4"/>
      </rPr>
      <t>0</t>
    </r>
    <r>
      <rPr>
        <sz val="13"/>
        <rFont val="Comic Sans MS"/>
        <family val="4"/>
      </rPr>
      <t>/ 10.000.000)</t>
    </r>
  </si>
  <si>
    <r>
      <t>KB 23 Ivan (</t>
    </r>
    <r>
      <rPr>
        <sz val="13"/>
        <color rgb="FFFF0000"/>
        <rFont val="Comic Sans MS"/>
        <family val="4"/>
      </rPr>
      <t>0</t>
    </r>
    <r>
      <rPr>
        <sz val="13"/>
        <rFont val="Comic Sans MS"/>
        <family val="4"/>
      </rPr>
      <t>/ 75.000.000)</t>
    </r>
  </si>
  <si>
    <t>09 Mei 2022 - 07 Jul 2023</t>
  </si>
  <si>
    <t>22 - LK/2023/VII/001</t>
  </si>
  <si>
    <t>LK 21</t>
  </si>
  <si>
    <r>
      <t>01 Ags 22 s/d 31 Ags 23 (LK/2023/VI</t>
    </r>
    <r>
      <rPr>
        <b/>
        <i/>
        <sz val="13"/>
        <color theme="1"/>
        <rFont val="Comic Sans MS"/>
        <family val="4"/>
      </rPr>
      <t>I</t>
    </r>
    <r>
      <rPr>
        <b/>
        <sz val="13"/>
        <color theme="1"/>
        <rFont val="Comic Sans MS"/>
        <family val="4"/>
      </rPr>
      <t>/008)</t>
    </r>
  </si>
  <si>
    <t>LK.22 - LK/2023/VII/002 - 09 Mei 2022 - 07 Jul 2023</t>
  </si>
  <si>
    <r>
      <rPr>
        <sz val="13"/>
        <rFont val="Comic Sans MS"/>
        <family val="4"/>
      </rPr>
      <t>KB 1-20 Ivan, KB 1-3 Meko, KB 1-11 Khamid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>757.336.915/</t>
    </r>
    <r>
      <rPr>
        <sz val="13"/>
        <rFont val="Comic Sans MS"/>
        <family val="4"/>
      </rPr>
      <t xml:space="preserve"> 757.336.915)</t>
    </r>
  </si>
  <si>
    <r>
      <t>KB 23 Ivan (</t>
    </r>
    <r>
      <rPr>
        <sz val="13"/>
        <color rgb="FFFF0000"/>
        <rFont val="Comic Sans MS"/>
        <family val="4"/>
      </rPr>
      <t>1.699.439,99</t>
    </r>
    <r>
      <rPr>
        <sz val="13"/>
        <rFont val="Comic Sans MS"/>
        <family val="4"/>
      </rPr>
      <t>/ 75.000.000)</t>
    </r>
  </si>
  <si>
    <t>23 - LK/2023/IX/003</t>
  </si>
  <si>
    <t>28 Apr 2023 - 28 Mei 2023</t>
  </si>
  <si>
    <t>LK 21 - 22</t>
  </si>
  <si>
    <r>
      <t>01 Ags 22 s/d 31 Ags 23 (LK/2023/VI</t>
    </r>
    <r>
      <rPr>
        <b/>
        <i/>
        <sz val="13"/>
        <color theme="1"/>
        <rFont val="Comic Sans MS"/>
        <family val="4"/>
      </rPr>
      <t>I</t>
    </r>
    <r>
      <rPr>
        <b/>
        <sz val="13"/>
        <color theme="1"/>
        <rFont val="Comic Sans MS"/>
        <family val="4"/>
      </rPr>
      <t>/008, LK/2023/VII/002)</t>
    </r>
  </si>
  <si>
    <t>LK.23 - LK/2023/IX/003 - 28 Apr 2023 - 28 Mei 2023</t>
  </si>
  <si>
    <r>
      <t>KB 23 Ivan (</t>
    </r>
    <r>
      <rPr>
        <sz val="13"/>
        <color rgb="FFFF0000"/>
        <rFont val="Comic Sans MS"/>
        <family val="4"/>
      </rPr>
      <t>41.295.939,99</t>
    </r>
    <r>
      <rPr>
        <sz val="13"/>
        <rFont val="Comic Sans MS"/>
        <family val="4"/>
      </rPr>
      <t>/ 75.000.000)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</si>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</sst>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.00_-;\-* #,##0.00_-;_-* &quot;-&quot;_-;_-@_-"/>
    <numFmt numFmtId="165" formatCode="_-&quot;Rp&quot;* #,##0.00_-;\-&quot;Rp&quot;* 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b/>
      <sz val="12"/>
      <color theme="1"/>
      <name val="Comic Sans MS"/>
      <family val="4"/>
    </font>
    <font>
      <b/>
      <sz val="13"/>
      <color theme="1"/>
      <name val="Comic Sans MS"/>
      <family val="4"/>
    </font>
    <font>
      <b/>
      <u/>
      <sz val="13"/>
      <color theme="1"/>
      <name val="Comic Sans MS"/>
      <family val="4"/>
    </font>
    <font>
      <b/>
      <sz val="12"/>
      <name val="Comic Sans MS"/>
      <family val="4"/>
    </font>
    <font>
      <sz val="12"/>
      <name val="Comic Sans MS"/>
      <family val="4"/>
    </font>
    <font>
      <i/>
      <sz val="12"/>
      <color indexed="24"/>
      <name val="Comic Sans MS"/>
      <family val="4"/>
    </font>
    <font>
      <i/>
      <sz val="12"/>
      <color indexed="10"/>
      <name val="Comic Sans MS"/>
      <family val="4"/>
    </font>
    <font>
      <sz val="9"/>
      <name val="Times New Roman"/>
      <family val="1"/>
    </font>
    <font>
      <b/>
      <sz val="13"/>
      <color rgb="FFFF0000"/>
      <name val="Comic Sans MS"/>
      <family val="4"/>
    </font>
    <font>
      <b/>
      <u/>
      <sz val="14"/>
      <color theme="1"/>
      <name val="Comic Sans MS"/>
      <family val="4"/>
    </font>
    <font>
      <sz val="13"/>
      <color theme="1"/>
      <name val="Comic Sans MS"/>
      <family val="4"/>
    </font>
    <font>
      <sz val="13"/>
      <name val="Comic Sans MS"/>
      <family val="4"/>
    </font>
    <font>
      <b/>
      <sz val="13"/>
      <name val="Comic Sans MS"/>
      <family val="4"/>
    </font>
    <font>
      <b/>
      <sz val="13"/>
      <color rgb="FF0000FF"/>
      <name val="Comic Sans MS"/>
      <family val="4"/>
    </font>
    <font>
      <b/>
      <sz val="14"/>
      <color rgb="FFFF0000"/>
      <name val="Comic Sans MS"/>
      <family val="4"/>
    </font>
    <font>
      <b/>
      <sz val="14"/>
      <color rgb="FF0000FF"/>
      <name val="Comic Sans MS"/>
      <family val="4"/>
    </font>
    <font>
      <b/>
      <sz val="14"/>
      <name val="Comic Sans MS"/>
      <family val="4"/>
    </font>
    <font>
      <sz val="13"/>
      <color rgb="FFFF0000"/>
      <name val="Comic Sans MS"/>
      <family val="4"/>
    </font>
    <font>
      <sz val="10"/>
      <color theme="1"/>
      <name val="Comic Sans MS"/>
      <family val="4"/>
    </font>
    <font>
      <b/>
      <i/>
      <sz val="13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3" fillId="0" borderId="0" xfId="0" applyFont="1"/>
    <xf numFmtId="4" fontId="5" fillId="0" borderId="1" xfId="0" applyNumberFormat="1" applyFont="1" applyBorder="1" applyAlignment="1">
      <alignment horizontal="left" vertical="center" wrapText="1"/>
    </xf>
    <xf numFmtId="4" fontId="5" fillId="0" borderId="0" xfId="0" applyNumberFormat="1" applyFont="1" applyAlignment="1">
      <alignment horizontal="left" vertical="center" wrapText="1"/>
    </xf>
    <xf numFmtId="4" fontId="5" fillId="0" borderId="0" xfId="0" applyNumberFormat="1" applyFont="1" applyAlignment="1">
      <alignment vertical="center" wrapText="1"/>
    </xf>
    <xf numFmtId="0" fontId="6" fillId="0" borderId="2" xfId="0" applyFont="1" applyBorder="1"/>
    <xf numFmtId="0" fontId="6" fillId="0" borderId="5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4" fontId="11" fillId="0" borderId="0" xfId="0" applyNumberFormat="1" applyFont="1" applyAlignment="1">
      <alignment horizontal="center" vertical="center" wrapText="1"/>
    </xf>
    <xf numFmtId="4" fontId="10" fillId="0" borderId="0" xfId="1" applyNumberFormat="1" applyFont="1" applyFill="1" applyAlignment="1">
      <alignment horizontal="right" vertical="center" wrapText="1"/>
    </xf>
    <xf numFmtId="4" fontId="12" fillId="0" borderId="0" xfId="1" applyNumberFormat="1" applyFont="1" applyAlignment="1">
      <alignment vertical="center" wrapText="1"/>
    </xf>
    <xf numFmtId="4" fontId="12" fillId="0" borderId="0" xfId="1" applyNumberFormat="1" applyFont="1" applyFill="1" applyAlignment="1">
      <alignment horizontal="right" vertical="center" wrapText="1"/>
    </xf>
    <xf numFmtId="4" fontId="13" fillId="0" borderId="0" xfId="1" applyNumberFormat="1" applyFont="1" applyAlignment="1">
      <alignment vertical="center" wrapText="1"/>
    </xf>
    <xf numFmtId="4" fontId="13" fillId="0" borderId="0" xfId="1" applyNumberFormat="1" applyFont="1" applyFill="1" applyAlignment="1">
      <alignment horizontal="right" vertical="center" wrapText="1"/>
    </xf>
    <xf numFmtId="10" fontId="11" fillId="0" borderId="0" xfId="0" applyNumberFormat="1" applyFont="1" applyAlignment="1">
      <alignment vertical="center"/>
    </xf>
    <xf numFmtId="4" fontId="13" fillId="0" borderId="0" xfId="1" applyNumberFormat="1" applyFont="1" applyFill="1" applyAlignment="1">
      <alignment vertical="center" wrapText="1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4" fontId="4" fillId="0" borderId="4" xfId="0" applyNumberFormat="1" applyFont="1" applyBorder="1"/>
    <xf numFmtId="43" fontId="4" fillId="0" borderId="6" xfId="0" applyNumberFormat="1" applyFont="1" applyBorder="1"/>
    <xf numFmtId="10" fontId="4" fillId="0" borderId="9" xfId="0" applyNumberFormat="1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3" fillId="0" borderId="17" xfId="0" applyFont="1" applyBorder="1"/>
    <xf numFmtId="4" fontId="2" fillId="0" borderId="0" xfId="0" applyNumberFormat="1" applyFont="1"/>
    <xf numFmtId="0" fontId="3" fillId="0" borderId="15" xfId="0" applyFont="1" applyBorder="1" applyAlignment="1">
      <alignment horizontal="center"/>
    </xf>
    <xf numFmtId="2" fontId="6" fillId="4" borderId="6" xfId="0" applyNumberFormat="1" applyFont="1" applyFill="1" applyBorder="1" applyAlignment="1">
      <alignment horizontal="left"/>
    </xf>
    <xf numFmtId="0" fontId="6" fillId="0" borderId="7" xfId="0" applyFont="1" applyBorder="1"/>
    <xf numFmtId="0" fontId="4" fillId="0" borderId="11" xfId="0" applyFont="1" applyBorder="1"/>
    <xf numFmtId="0" fontId="4" fillId="0" borderId="12" xfId="0" applyFont="1" applyBorder="1"/>
    <xf numFmtId="0" fontId="17" fillId="0" borderId="3" xfId="0" applyFont="1" applyBorder="1"/>
    <xf numFmtId="0" fontId="17" fillId="0" borderId="11" xfId="0" applyFont="1" applyBorder="1"/>
    <xf numFmtId="0" fontId="17" fillId="0" borderId="12" xfId="0" applyFont="1" applyBorder="1"/>
    <xf numFmtId="0" fontId="17" fillId="0" borderId="10" xfId="0" applyFont="1" applyBorder="1"/>
    <xf numFmtId="43" fontId="8" fillId="0" borderId="17" xfId="0" applyNumberFormat="1" applyFont="1" applyBorder="1"/>
    <xf numFmtId="43" fontId="8" fillId="0" borderId="18" xfId="0" applyNumberFormat="1" applyFont="1" applyBorder="1"/>
    <xf numFmtId="0" fontId="9" fillId="0" borderId="2" xfId="0" applyFont="1" applyBorder="1"/>
    <xf numFmtId="0" fontId="17" fillId="0" borderId="4" xfId="0" applyFont="1" applyBorder="1"/>
    <xf numFmtId="0" fontId="17" fillId="0" borderId="0" xfId="0" applyFont="1"/>
    <xf numFmtId="0" fontId="17" fillId="0" borderId="6" xfId="0" applyFont="1" applyBorder="1"/>
    <xf numFmtId="0" fontId="8" fillId="0" borderId="5" xfId="0" applyFont="1" applyBorder="1"/>
    <xf numFmtId="0" fontId="8" fillId="0" borderId="0" xfId="0" applyFont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 applyAlignment="1">
      <alignment horizontal="center" vertical="center"/>
    </xf>
    <xf numFmtId="4" fontId="19" fillId="0" borderId="9" xfId="0" applyNumberFormat="1" applyFont="1" applyBorder="1" applyAlignment="1">
      <alignment horizontal="left" vertical="center"/>
    </xf>
    <xf numFmtId="0" fontId="20" fillId="0" borderId="14" xfId="0" applyFont="1" applyBorder="1" applyAlignment="1">
      <alignment horizontal="right"/>
    </xf>
    <xf numFmtId="164" fontId="20" fillId="0" borderId="14" xfId="2" applyNumberFormat="1" applyFont="1" applyBorder="1"/>
    <xf numFmtId="4" fontId="8" fillId="0" borderId="13" xfId="0" applyNumberFormat="1" applyFont="1" applyBorder="1"/>
    <xf numFmtId="0" fontId="17" fillId="0" borderId="13" xfId="0" applyFont="1" applyBorder="1"/>
    <xf numFmtId="0" fontId="8" fillId="0" borderId="15" xfId="0" applyFont="1" applyBorder="1" applyAlignment="1">
      <alignment horizontal="center"/>
    </xf>
    <xf numFmtId="0" fontId="15" fillId="0" borderId="11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right"/>
    </xf>
    <xf numFmtId="164" fontId="20" fillId="0" borderId="17" xfId="2" applyNumberFormat="1" applyFont="1" applyBorder="1"/>
    <xf numFmtId="4" fontId="8" fillId="0" borderId="18" xfId="0" applyNumberFormat="1" applyFont="1" applyBorder="1"/>
    <xf numFmtId="4" fontId="8" fillId="0" borderId="12" xfId="0" applyNumberFormat="1" applyFont="1" applyBorder="1" applyAlignment="1">
      <alignment horizontal="center"/>
    </xf>
    <xf numFmtId="44" fontId="21" fillId="0" borderId="12" xfId="0" applyNumberFormat="1" applyFont="1" applyBorder="1"/>
    <xf numFmtId="0" fontId="6" fillId="0" borderId="12" xfId="0" applyFont="1" applyBorder="1"/>
    <xf numFmtId="0" fontId="2" fillId="0" borderId="12" xfId="0" applyFont="1" applyBorder="1"/>
    <xf numFmtId="0" fontId="8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9" xfId="0" applyFont="1" applyBorder="1"/>
    <xf numFmtId="41" fontId="19" fillId="0" borderId="12" xfId="2" applyFont="1" applyBorder="1" applyAlignment="1">
      <alignment horizontal="center"/>
    </xf>
    <xf numFmtId="44" fontId="22" fillId="0" borderId="12" xfId="0" applyNumberFormat="1" applyFont="1" applyBorder="1" applyAlignment="1">
      <alignment horizontal="right" vertical="center" wrapText="1"/>
    </xf>
    <xf numFmtId="4" fontId="16" fillId="4" borderId="12" xfId="0" applyNumberFormat="1" applyFont="1" applyFill="1" applyBorder="1"/>
    <xf numFmtId="0" fontId="15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right"/>
    </xf>
    <xf numFmtId="0" fontId="2" fillId="0" borderId="19" xfId="0" applyFont="1" applyBorder="1"/>
    <xf numFmtId="15" fontId="17" fillId="0" borderId="19" xfId="0" applyNumberFormat="1" applyFont="1" applyBorder="1" applyAlignment="1">
      <alignment horizontal="center"/>
    </xf>
    <xf numFmtId="0" fontId="4" fillId="0" borderId="19" xfId="0" applyFont="1" applyBorder="1"/>
    <xf numFmtId="0" fontId="8" fillId="0" borderId="19" xfId="0" applyFont="1" applyBorder="1" applyAlignment="1">
      <alignment horizontal="center"/>
    </xf>
    <xf numFmtId="0" fontId="18" fillId="0" borderId="14" xfId="0" applyFont="1" applyBorder="1" applyAlignment="1">
      <alignment horizontal="left" vertical="center"/>
    </xf>
    <xf numFmtId="44" fontId="17" fillId="0" borderId="14" xfId="0" applyNumberFormat="1" applyFont="1" applyBorder="1"/>
    <xf numFmtId="165" fontId="6" fillId="0" borderId="4" xfId="2" applyNumberFormat="1" applyFont="1" applyBorder="1" applyAlignment="1">
      <alignment horizontal="right"/>
    </xf>
    <xf numFmtId="0" fontId="6" fillId="0" borderId="19" xfId="0" applyFont="1" applyBorder="1"/>
    <xf numFmtId="44" fontId="23" fillId="0" borderId="12" xfId="0" applyNumberFormat="1" applyFont="1" applyBorder="1" applyAlignment="1">
      <alignment horizontal="right" vertical="center" wrapText="1"/>
    </xf>
    <xf numFmtId="44" fontId="23" fillId="0" borderId="12" xfId="0" applyNumberFormat="1" applyFont="1" applyBorder="1"/>
    <xf numFmtId="165" fontId="5" fillId="0" borderId="12" xfId="0" applyNumberFormat="1" applyFont="1" applyBorder="1" applyAlignment="1">
      <alignment horizontal="right"/>
    </xf>
    <xf numFmtId="165" fontId="5" fillId="0" borderId="12" xfId="0" applyNumberFormat="1" applyFont="1" applyBorder="1"/>
    <xf numFmtId="44" fontId="5" fillId="0" borderId="12" xfId="0" applyNumberFormat="1" applyFont="1" applyBorder="1" applyAlignment="1">
      <alignment horizontal="right" vertical="center" wrapText="1"/>
    </xf>
    <xf numFmtId="44" fontId="8" fillId="0" borderId="19" xfId="0" applyNumberFormat="1" applyFont="1" applyBorder="1"/>
    <xf numFmtId="0" fontId="8" fillId="0" borderId="20" xfId="0" applyFont="1" applyBorder="1" applyAlignment="1">
      <alignment horizontal="center"/>
    </xf>
    <xf numFmtId="44" fontId="8" fillId="0" borderId="20" xfId="2" applyNumberFormat="1" applyFont="1" applyBorder="1"/>
    <xf numFmtId="0" fontId="17" fillId="0" borderId="20" xfId="0" applyFont="1" applyBorder="1"/>
    <xf numFmtId="2" fontId="2" fillId="0" borderId="0" xfId="0" applyNumberFormat="1" applyFont="1"/>
    <xf numFmtId="165" fontId="22" fillId="0" borderId="12" xfId="0" applyNumberFormat="1" applyFont="1" applyBorder="1"/>
    <xf numFmtId="0" fontId="3" fillId="0" borderId="19" xfId="0" applyFont="1" applyBorder="1" applyAlignment="1">
      <alignment horizontal="center"/>
    </xf>
    <xf numFmtId="44" fontId="2" fillId="0" borderId="0" xfId="0" applyNumberFormat="1" applyFont="1"/>
    <xf numFmtId="41" fontId="2" fillId="0" borderId="0" xfId="2" applyFont="1"/>
    <xf numFmtId="41" fontId="2" fillId="0" borderId="0" xfId="0" applyNumberFormat="1" applyFont="1"/>
    <xf numFmtId="15" fontId="25" fillId="0" borderId="19" xfId="0" applyNumberFormat="1" applyFont="1" applyBorder="1" applyAlignment="1">
      <alignment horizontal="center"/>
    </xf>
    <xf numFmtId="165" fontId="2" fillId="0" borderId="0" xfId="0" applyNumberFormat="1" applyFont="1"/>
    <xf numFmtId="43" fontId="2" fillId="0" borderId="0" xfId="0" applyNumberFormat="1" applyFont="1"/>
    <xf numFmtId="164" fontId="2" fillId="0" borderId="0" xfId="2" applyNumberFormat="1" applyFont="1"/>
    <xf numFmtId="4" fontId="2" fillId="0" borderId="8" xfId="0" applyNumberFormat="1" applyFont="1" applyBorder="1"/>
    <xf numFmtId="0" fontId="8" fillId="0" borderId="16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17" fillId="3" borderId="8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24" fillId="0" borderId="10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20" xfId="0" applyFont="1" applyBorder="1" applyAlignment="1">
      <alignment horizontal="left" vertical="top"/>
    </xf>
    <xf numFmtId="0" fontId="20" fillId="0" borderId="11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F6B48688-D92E-4E56-ADB7-870281D5EDBE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0F6D-21AB-4F79-8B01-6EC004527E8B}">
  <sheetPr>
    <pageSetUpPr fitToPage="1"/>
  </sheetPr>
  <dimension ref="B3:L39"/>
  <sheetViews>
    <sheetView view="pageBreakPreview" topLeftCell="A5" zoomScale="85" zoomScaleNormal="85" zoomScaleSheetLayoutView="85" workbookViewId="0">
      <selection activeCell="F24" sqref="F2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20.10937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33</v>
      </c>
      <c r="F4" s="6" t="s">
        <v>2</v>
      </c>
      <c r="G4" s="24">
        <f>+E37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F27</f>
        <v>12191281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35</v>
      </c>
      <c r="F6" s="7" t="s">
        <v>5</v>
      </c>
      <c r="G6" s="25">
        <f>G4-G5</f>
        <v>311245877.23979998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0.96230711070321351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98"/>
      <c r="D12" s="129"/>
      <c r="E12" s="129"/>
      <c r="F12" s="99"/>
      <c r="G12" s="100"/>
      <c r="H12" s="35"/>
    </row>
    <row r="13" spans="2:8" ht="5.4" customHeight="1" thickBot="1" x14ac:dyDescent="0.55000000000000004">
      <c r="B13" s="34"/>
      <c r="C13" s="65"/>
      <c r="D13" s="88"/>
      <c r="E13" s="88"/>
      <c r="F13" s="89"/>
      <c r="G13" s="64"/>
      <c r="H13" s="35"/>
    </row>
    <row r="14" spans="2:8" ht="22.2" thickTop="1" thickBot="1" x14ac:dyDescent="0.55000000000000004">
      <c r="B14" s="34"/>
      <c r="C14" s="40"/>
      <c r="D14" s="29"/>
      <c r="E14" s="61" t="s">
        <v>14</v>
      </c>
      <c r="F14" s="102">
        <f>SUM(F12)</f>
        <v>0</v>
      </c>
      <c r="G14" s="63">
        <f>G4-F14</f>
        <v>323437158.23979998</v>
      </c>
      <c r="H14" s="35"/>
    </row>
    <row r="15" spans="2:8" ht="5.4" customHeight="1" thickTop="1" x14ac:dyDescent="0.5">
      <c r="B15" s="34"/>
      <c r="C15" s="68"/>
      <c r="D15" s="38"/>
      <c r="E15" s="69"/>
      <c r="F15" s="70"/>
      <c r="G15" s="71"/>
      <c r="H15" s="35"/>
    </row>
    <row r="16" spans="2:8" ht="21" x14ac:dyDescent="0.5">
      <c r="B16" s="34"/>
      <c r="C16" s="84"/>
      <c r="D16" s="118" t="s">
        <v>28</v>
      </c>
      <c r="E16" s="119"/>
      <c r="F16" s="90">
        <v>0</v>
      </c>
      <c r="G16" s="75"/>
      <c r="H16" s="35"/>
    </row>
    <row r="17" spans="2:12" ht="6" customHeight="1" x14ac:dyDescent="0.5">
      <c r="B17" s="34"/>
      <c r="C17" s="84"/>
      <c r="D17" s="76"/>
      <c r="E17" s="77"/>
      <c r="F17" s="90"/>
      <c r="G17" s="75"/>
      <c r="H17" s="35"/>
    </row>
    <row r="18" spans="2:12" ht="20.399999999999999" x14ac:dyDescent="0.5">
      <c r="B18" s="34"/>
      <c r="C18" s="67" t="s">
        <v>12</v>
      </c>
      <c r="D18" s="120" t="s">
        <v>27</v>
      </c>
      <c r="E18" s="121"/>
      <c r="F18" s="79" t="s">
        <v>29</v>
      </c>
      <c r="G18" s="72" t="s">
        <v>30</v>
      </c>
      <c r="H18" s="35"/>
    </row>
    <row r="19" spans="2:12" ht="19.8" x14ac:dyDescent="0.45">
      <c r="B19" s="34"/>
      <c r="C19" s="85">
        <v>44711</v>
      </c>
      <c r="D19" s="122" t="s">
        <v>41</v>
      </c>
      <c r="E19" s="123"/>
      <c r="F19" s="94">
        <v>5000000</v>
      </c>
      <c r="G19" s="95">
        <v>0</v>
      </c>
      <c r="H19" s="35"/>
    </row>
    <row r="20" spans="2:12" ht="19.8" x14ac:dyDescent="0.45">
      <c r="B20" s="34"/>
      <c r="C20" s="85">
        <v>44776</v>
      </c>
      <c r="D20" s="116" t="s">
        <v>42</v>
      </c>
      <c r="E20" s="117"/>
      <c r="F20" s="96">
        <v>3000000</v>
      </c>
      <c r="G20" s="95">
        <v>0</v>
      </c>
      <c r="H20" s="35"/>
    </row>
    <row r="21" spans="2:12" ht="19.8" x14ac:dyDescent="0.45">
      <c r="B21" s="34"/>
      <c r="C21" s="85">
        <v>44813</v>
      </c>
      <c r="D21" s="116" t="s">
        <v>43</v>
      </c>
      <c r="E21" s="117"/>
      <c r="F21" s="96">
        <v>4191281</v>
      </c>
      <c r="G21" s="95">
        <v>25808719</v>
      </c>
      <c r="H21" s="35"/>
      <c r="L21" s="39"/>
    </row>
    <row r="22" spans="2:12" ht="7.8" customHeight="1" x14ac:dyDescent="0.5">
      <c r="B22" s="34"/>
      <c r="C22" s="85"/>
      <c r="D22" s="66"/>
      <c r="E22" s="82"/>
      <c r="F22" s="92"/>
      <c r="G22" s="93"/>
      <c r="H22" s="35"/>
      <c r="L22" s="39"/>
    </row>
    <row r="23" spans="2:12" ht="19.2" customHeight="1" x14ac:dyDescent="0.5">
      <c r="B23" s="34"/>
      <c r="C23" s="67" t="s">
        <v>12</v>
      </c>
      <c r="D23" s="124" t="s">
        <v>32</v>
      </c>
      <c r="E23" s="121"/>
      <c r="F23" s="79"/>
      <c r="G23" s="73"/>
      <c r="H23" s="35"/>
      <c r="L23" s="39"/>
    </row>
    <row r="24" spans="2:12" ht="21" x14ac:dyDescent="0.5">
      <c r="B24" s="34"/>
      <c r="C24" s="85">
        <v>44909</v>
      </c>
      <c r="D24" s="130" t="s">
        <v>36</v>
      </c>
      <c r="E24" s="131"/>
      <c r="F24" s="80">
        <v>12191281</v>
      </c>
      <c r="G24" s="74"/>
      <c r="H24" s="35"/>
      <c r="L24" s="104">
        <f>30000000-F21</f>
        <v>25808719</v>
      </c>
    </row>
    <row r="25" spans="2:12" ht="21" x14ac:dyDescent="0.5">
      <c r="B25" s="34"/>
      <c r="C25" s="86"/>
      <c r="D25" s="43"/>
      <c r="E25" s="83" t="s">
        <v>13</v>
      </c>
      <c r="F25" s="81">
        <f>F24-SUM(F19:F21)</f>
        <v>0</v>
      </c>
      <c r="G25" s="44"/>
      <c r="H25" s="35"/>
    </row>
    <row r="26" spans="2:12" ht="10.199999999999999" customHeight="1" thickBot="1" x14ac:dyDescent="0.5">
      <c r="B26" s="34"/>
      <c r="C26" s="30"/>
      <c r="D26" s="29"/>
      <c r="E26" s="29"/>
      <c r="F26" s="29"/>
      <c r="G26" s="28"/>
      <c r="H26" s="35"/>
    </row>
    <row r="27" spans="2:12" ht="21" thickTop="1" x14ac:dyDescent="0.5">
      <c r="B27" s="34"/>
      <c r="C27" s="112" t="s">
        <v>15</v>
      </c>
      <c r="D27" s="113"/>
      <c r="E27" s="113"/>
      <c r="F27" s="49">
        <f>F14+F24</f>
        <v>12191281</v>
      </c>
      <c r="G27" s="50">
        <f>G4-F27</f>
        <v>311245877.23979998</v>
      </c>
      <c r="H27" s="35"/>
      <c r="L27" s="101"/>
    </row>
    <row r="28" spans="2:12" ht="20.399999999999999" x14ac:dyDescent="0.5">
      <c r="B28" s="34"/>
      <c r="C28" s="51" t="s">
        <v>16</v>
      </c>
      <c r="D28" s="45"/>
      <c r="E28" s="52"/>
      <c r="F28" s="53"/>
      <c r="G28" s="54"/>
      <c r="H28" s="35"/>
    </row>
    <row r="29" spans="2:12" ht="21" x14ac:dyDescent="0.5">
      <c r="B29" s="34"/>
      <c r="C29" s="55" t="s">
        <v>17</v>
      </c>
      <c r="D29" s="56" t="s">
        <v>1</v>
      </c>
      <c r="E29" s="41">
        <f>F25</f>
        <v>0</v>
      </c>
      <c r="F29" s="53"/>
      <c r="G29" s="54"/>
      <c r="H29" s="35"/>
    </row>
    <row r="30" spans="2:12" ht="20.399999999999999" x14ac:dyDescent="0.5">
      <c r="B30" s="34"/>
      <c r="C30" s="55" t="s">
        <v>18</v>
      </c>
      <c r="D30" s="56" t="s">
        <v>1</v>
      </c>
      <c r="E30" s="57" t="s">
        <v>19</v>
      </c>
      <c r="F30" s="53"/>
      <c r="G30" s="54"/>
      <c r="H30" s="35"/>
    </row>
    <row r="31" spans="2:12" ht="20.399999999999999" x14ac:dyDescent="0.5">
      <c r="B31" s="34"/>
      <c r="C31" s="58" t="s">
        <v>20</v>
      </c>
      <c r="D31" s="59" t="s">
        <v>1</v>
      </c>
      <c r="E31" s="60" t="s">
        <v>55</v>
      </c>
      <c r="F31" s="114" t="s">
        <v>26</v>
      </c>
      <c r="G31" s="115"/>
      <c r="H31" s="35"/>
    </row>
    <row r="32" spans="2:12" ht="6" customHeight="1" x14ac:dyDescent="0.45">
      <c r="B32" s="36"/>
      <c r="C32" s="27"/>
      <c r="D32" s="27"/>
      <c r="E32" s="27"/>
      <c r="F32" s="27"/>
      <c r="G32" s="27"/>
      <c r="H32" s="37"/>
    </row>
    <row r="33" spans="3:7" ht="18.600000000000001" x14ac:dyDescent="0.45">
      <c r="C33" s="2"/>
      <c r="D33" s="2"/>
      <c r="E33" s="2"/>
      <c r="F33" s="2"/>
      <c r="G33" s="2"/>
    </row>
    <row r="34" spans="3:7" ht="19.8" x14ac:dyDescent="0.45">
      <c r="C34" s="12" t="s">
        <v>21</v>
      </c>
      <c r="D34" s="13"/>
      <c r="E34" s="14"/>
      <c r="F34" s="15"/>
      <c r="G34" s="2"/>
    </row>
    <row r="35" spans="3:7" ht="19.8" x14ac:dyDescent="0.35">
      <c r="C35" s="12"/>
      <c r="D35" s="13"/>
      <c r="E35" s="14"/>
      <c r="F35" s="16" t="s">
        <v>22</v>
      </c>
      <c r="G35" s="17">
        <v>15000000</v>
      </c>
    </row>
    <row r="36" spans="3:7" ht="19.8" x14ac:dyDescent="0.35">
      <c r="C36" s="12" t="s">
        <v>23</v>
      </c>
      <c r="D36" s="13"/>
      <c r="E36" s="14">
        <v>32343715823.98</v>
      </c>
      <c r="F36" s="18" t="s">
        <v>24</v>
      </c>
      <c r="G36" s="19"/>
    </row>
    <row r="37" spans="3:7" ht="19.8" x14ac:dyDescent="0.35">
      <c r="C37" s="20">
        <v>0.01</v>
      </c>
      <c r="D37" s="13"/>
      <c r="E37" s="14">
        <f>E36*C37</f>
        <v>323437158.23979998</v>
      </c>
      <c r="F37" s="18" t="s">
        <v>25</v>
      </c>
      <c r="G37" s="21"/>
    </row>
    <row r="38" spans="3:7" ht="18.600000000000001" x14ac:dyDescent="0.45">
      <c r="C38" s="2"/>
      <c r="D38" s="2"/>
      <c r="E38" s="2"/>
      <c r="F38" s="2"/>
      <c r="G38" s="2"/>
    </row>
    <row r="39" spans="3:7" ht="18.600000000000001" x14ac:dyDescent="0.45">
      <c r="C39" s="2"/>
      <c r="D39" s="2"/>
      <c r="E39" s="2"/>
      <c r="F39" s="2"/>
      <c r="G39" s="2"/>
    </row>
  </sheetData>
  <mergeCells count="13">
    <mergeCell ref="C9:E9"/>
    <mergeCell ref="D10:E10"/>
    <mergeCell ref="D11:E11"/>
    <mergeCell ref="D12:E12"/>
    <mergeCell ref="D24:E24"/>
    <mergeCell ref="C27:E27"/>
    <mergeCell ref="F31:G31"/>
    <mergeCell ref="D20:E20"/>
    <mergeCell ref="D16:E16"/>
    <mergeCell ref="D18:E18"/>
    <mergeCell ref="D19:E19"/>
    <mergeCell ref="D21:E21"/>
    <mergeCell ref="D23:E2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ADDE-5205-4F4F-85E9-88BF474C73F7}">
  <sheetPr>
    <pageSetUpPr fitToPage="1"/>
  </sheetPr>
  <dimension ref="B3:L45"/>
  <sheetViews>
    <sheetView view="pageBreakPreview" topLeftCell="A11" zoomScale="85" zoomScaleNormal="85" zoomScaleSheetLayoutView="85" workbookViewId="0">
      <selection activeCell="E5" sqref="E5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.88671875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159</v>
      </c>
      <c r="F4" s="6" t="s">
        <v>2</v>
      </c>
      <c r="G4" s="24">
        <f>+E43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F33</f>
        <v>593675430.18999994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117</v>
      </c>
      <c r="F6" s="7" t="s">
        <v>5</v>
      </c>
      <c r="G6" s="25">
        <f>G4-G5</f>
        <v>-270238271.95019996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-0.83552017777079979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118</v>
      </c>
      <c r="D17" s="133" t="s">
        <v>145</v>
      </c>
      <c r="E17" s="128"/>
      <c r="F17" s="97">
        <f>+LK.9!F31</f>
        <v>74059797</v>
      </c>
      <c r="G17" s="47"/>
      <c r="H17" s="35"/>
      <c r="L17" s="104"/>
    </row>
    <row r="18" spans="2:12" ht="5.4" customHeight="1" thickBot="1" x14ac:dyDescent="0.55000000000000004">
      <c r="B18" s="34"/>
      <c r="C18" s="65"/>
      <c r="D18" s="88"/>
      <c r="E18" s="88"/>
      <c r="F18" s="89"/>
      <c r="G18" s="64"/>
      <c r="H18" s="35"/>
    </row>
    <row r="19" spans="2:12" ht="21.6" thickTop="1" thickBot="1" x14ac:dyDescent="0.55000000000000004">
      <c r="B19" s="34"/>
      <c r="C19" s="40"/>
      <c r="D19" s="29"/>
      <c r="E19" s="61" t="s">
        <v>14</v>
      </c>
      <c r="F19" s="62">
        <f>SUM(F12:F17)</f>
        <v>572382101.18999994</v>
      </c>
      <c r="G19" s="63">
        <f>G4-F19</f>
        <v>-248944942.95019996</v>
      </c>
      <c r="H19" s="35"/>
    </row>
    <row r="20" spans="2:12" ht="5.4" customHeight="1" thickTop="1" x14ac:dyDescent="0.5">
      <c r="B20" s="34"/>
      <c r="C20" s="68"/>
      <c r="D20" s="38"/>
      <c r="E20" s="69"/>
      <c r="F20" s="70"/>
      <c r="G20" s="71"/>
      <c r="H20" s="35"/>
    </row>
    <row r="21" spans="2:12" ht="21" x14ac:dyDescent="0.5">
      <c r="B21" s="34"/>
      <c r="C21" s="84"/>
      <c r="D21" s="118" t="s">
        <v>28</v>
      </c>
      <c r="E21" s="119"/>
      <c r="F21" s="90">
        <v>0</v>
      </c>
      <c r="G21" s="75"/>
      <c r="H21" s="35"/>
    </row>
    <row r="22" spans="2:12" ht="6" customHeight="1" x14ac:dyDescent="0.5">
      <c r="B22" s="34"/>
      <c r="C22" s="84"/>
      <c r="D22" s="76"/>
      <c r="E22" s="77"/>
      <c r="F22" s="90"/>
      <c r="G22" s="75"/>
      <c r="H22" s="35"/>
    </row>
    <row r="23" spans="2:12" ht="20.399999999999999" x14ac:dyDescent="0.5">
      <c r="B23" s="34"/>
      <c r="C23" s="67" t="s">
        <v>12</v>
      </c>
      <c r="D23" s="120" t="s">
        <v>27</v>
      </c>
      <c r="E23" s="121"/>
      <c r="F23" s="79" t="s">
        <v>29</v>
      </c>
      <c r="G23" s="72" t="s">
        <v>30</v>
      </c>
      <c r="H23" s="35"/>
      <c r="L23" s="105">
        <f>264666902+35000000+50000000+35000000+50985790+60000000+22500000+17599900+9700717+10000000</f>
        <v>555453309</v>
      </c>
    </row>
    <row r="24" spans="2:12" ht="19.8" x14ac:dyDescent="0.45">
      <c r="B24" s="34"/>
      <c r="C24" s="103"/>
      <c r="D24" s="122" t="s">
        <v>121</v>
      </c>
      <c r="E24" s="123"/>
      <c r="F24" s="94">
        <v>0</v>
      </c>
      <c r="G24" s="95">
        <v>0</v>
      </c>
      <c r="H24" s="35"/>
      <c r="L24" s="105"/>
    </row>
    <row r="25" spans="2:12" ht="19.8" customHeight="1" x14ac:dyDescent="0.45">
      <c r="B25" s="34"/>
      <c r="C25" s="85">
        <v>44902</v>
      </c>
      <c r="D25" s="134" t="s">
        <v>122</v>
      </c>
      <c r="E25" s="135"/>
      <c r="F25" s="94">
        <v>3206207.8099999996</v>
      </c>
      <c r="G25" s="95">
        <v>0</v>
      </c>
      <c r="H25" s="35"/>
      <c r="L25" s="105"/>
    </row>
    <row r="26" spans="2:12" ht="19.8" customHeight="1" x14ac:dyDescent="0.45">
      <c r="B26" s="34"/>
      <c r="C26" s="85">
        <v>44906</v>
      </c>
      <c r="D26" s="134" t="s">
        <v>123</v>
      </c>
      <c r="E26" s="135"/>
      <c r="F26" s="94">
        <v>10000000</v>
      </c>
      <c r="G26" s="95">
        <v>0</v>
      </c>
      <c r="H26" s="35"/>
      <c r="L26" s="105"/>
    </row>
    <row r="27" spans="2:12" ht="19.8" customHeight="1" x14ac:dyDescent="0.45">
      <c r="B27" s="34"/>
      <c r="C27" s="85">
        <v>44911</v>
      </c>
      <c r="D27" s="134" t="s">
        <v>124</v>
      </c>
      <c r="E27" s="135"/>
      <c r="F27" s="94">
        <v>8087121.1900000004</v>
      </c>
      <c r="G27" s="95">
        <f>10000000-F27</f>
        <v>1912878.8099999996</v>
      </c>
      <c r="H27" s="35"/>
      <c r="L27" s="105"/>
    </row>
    <row r="28" spans="2:12" ht="7.8" customHeight="1" x14ac:dyDescent="0.5">
      <c r="B28" s="34"/>
      <c r="C28" s="85"/>
      <c r="D28" s="66"/>
      <c r="E28" s="82"/>
      <c r="F28" s="92"/>
      <c r="G28" s="93"/>
      <c r="H28" s="35"/>
      <c r="L28" s="39"/>
    </row>
    <row r="29" spans="2:12" ht="19.2" customHeight="1" x14ac:dyDescent="0.5">
      <c r="B29" s="34"/>
      <c r="C29" s="67" t="s">
        <v>12</v>
      </c>
      <c r="D29" s="124" t="s">
        <v>32</v>
      </c>
      <c r="E29" s="121"/>
      <c r="F29" s="79"/>
      <c r="G29" s="73"/>
      <c r="H29" s="35"/>
      <c r="L29" s="39">
        <v>3240937.71</v>
      </c>
    </row>
    <row r="30" spans="2:12" ht="21" x14ac:dyDescent="0.5">
      <c r="B30" s="34"/>
      <c r="C30" s="85">
        <v>45019</v>
      </c>
      <c r="D30" s="130" t="s">
        <v>127</v>
      </c>
      <c r="E30" s="131"/>
      <c r="F30" s="80">
        <v>21293329</v>
      </c>
      <c r="G30" s="74"/>
      <c r="H30" s="35"/>
    </row>
    <row r="31" spans="2:12" ht="21" x14ac:dyDescent="0.5">
      <c r="B31" s="34"/>
      <c r="C31" s="86"/>
      <c r="D31" s="43"/>
      <c r="E31" s="83" t="s">
        <v>13</v>
      </c>
      <c r="F31" s="81">
        <f>F30-SUM(F24:F27)</f>
        <v>0</v>
      </c>
      <c r="G31" s="44"/>
      <c r="H31" s="35"/>
      <c r="L31" s="1">
        <v>8785214.7100000009</v>
      </c>
    </row>
    <row r="32" spans="2:12" ht="10.199999999999999" customHeight="1" thickBot="1" x14ac:dyDescent="0.5">
      <c r="B32" s="34"/>
      <c r="C32" s="30"/>
      <c r="D32" s="29"/>
      <c r="E32" s="29"/>
      <c r="F32" s="29"/>
      <c r="G32" s="28"/>
      <c r="H32" s="35"/>
    </row>
    <row r="33" spans="2:12" ht="21" thickTop="1" x14ac:dyDescent="0.5">
      <c r="B33" s="34"/>
      <c r="C33" s="112" t="s">
        <v>15</v>
      </c>
      <c r="D33" s="113"/>
      <c r="E33" s="113"/>
      <c r="F33" s="49">
        <f>F19+F30</f>
        <v>593675430.18999994</v>
      </c>
      <c r="G33" s="50">
        <f>G4-F33</f>
        <v>-270238271.95019996</v>
      </c>
      <c r="H33" s="35"/>
      <c r="L33" s="101">
        <v>26970387.809999999</v>
      </c>
    </row>
    <row r="34" spans="2:12" ht="20.399999999999999" x14ac:dyDescent="0.5">
      <c r="B34" s="34"/>
      <c r="C34" s="51" t="s">
        <v>16</v>
      </c>
      <c r="D34" s="45"/>
      <c r="E34" s="52"/>
      <c r="F34" s="53"/>
      <c r="G34" s="54"/>
      <c r="H34" s="35"/>
    </row>
    <row r="35" spans="2:12" ht="21" x14ac:dyDescent="0.5">
      <c r="B35" s="34"/>
      <c r="C35" s="55" t="s">
        <v>17</v>
      </c>
      <c r="D35" s="56" t="s">
        <v>1</v>
      </c>
      <c r="E35" s="41">
        <f>F31</f>
        <v>0</v>
      </c>
      <c r="F35" s="53"/>
      <c r="G35" s="54"/>
      <c r="H35" s="35"/>
      <c r="L35" s="1">
        <v>1912878.81</v>
      </c>
    </row>
    <row r="36" spans="2:12" ht="20.399999999999999" x14ac:dyDescent="0.5">
      <c r="B36" s="34"/>
      <c r="C36" s="55" t="s">
        <v>18</v>
      </c>
      <c r="D36" s="56" t="s">
        <v>1</v>
      </c>
      <c r="E36" s="57" t="s">
        <v>19</v>
      </c>
      <c r="F36" s="53"/>
      <c r="G36" s="54"/>
      <c r="H36" s="35"/>
    </row>
    <row r="37" spans="2:12" ht="20.399999999999999" x14ac:dyDescent="0.5">
      <c r="B37" s="34"/>
      <c r="C37" s="58" t="s">
        <v>20</v>
      </c>
      <c r="D37" s="59" t="s">
        <v>1</v>
      </c>
      <c r="E37" s="60" t="s">
        <v>55</v>
      </c>
      <c r="F37" s="114" t="s">
        <v>26</v>
      </c>
      <c r="G37" s="115"/>
      <c r="H37" s="35"/>
    </row>
    <row r="38" spans="2:12" ht="6" customHeight="1" x14ac:dyDescent="0.45">
      <c r="B38" s="36"/>
      <c r="C38" s="27"/>
      <c r="D38" s="27"/>
      <c r="E38" s="27"/>
      <c r="F38" s="27"/>
      <c r="G38" s="27"/>
      <c r="H38" s="37"/>
    </row>
    <row r="39" spans="2:12" ht="18.600000000000001" x14ac:dyDescent="0.45">
      <c r="C39" s="2"/>
      <c r="D39" s="2"/>
      <c r="E39" s="2"/>
      <c r="F39" s="2"/>
      <c r="G39" s="2"/>
    </row>
    <row r="40" spans="2:12" ht="19.8" x14ac:dyDescent="0.45">
      <c r="C40" s="12" t="s">
        <v>21</v>
      </c>
      <c r="D40" s="13"/>
      <c r="E40" s="14"/>
      <c r="F40" s="15"/>
      <c r="G40" s="2"/>
    </row>
    <row r="41" spans="2:12" ht="19.8" x14ac:dyDescent="0.35">
      <c r="C41" s="12"/>
      <c r="D41" s="13"/>
      <c r="E41" s="14"/>
      <c r="F41" s="16" t="s">
        <v>22</v>
      </c>
      <c r="G41" s="17">
        <v>15000000</v>
      </c>
    </row>
    <row r="42" spans="2:12" ht="19.8" x14ac:dyDescent="0.35">
      <c r="C42" s="12" t="s">
        <v>23</v>
      </c>
      <c r="D42" s="13"/>
      <c r="E42" s="14">
        <v>32343715823.98</v>
      </c>
      <c r="F42" s="18" t="s">
        <v>24</v>
      </c>
      <c r="G42" s="19"/>
    </row>
    <row r="43" spans="2:12" ht="19.8" x14ac:dyDescent="0.35">
      <c r="C43" s="20">
        <v>0.01</v>
      </c>
      <c r="D43" s="13"/>
      <c r="E43" s="14">
        <f>E42*C43</f>
        <v>323437158.23979998</v>
      </c>
      <c r="F43" s="18" t="s">
        <v>25</v>
      </c>
      <c r="G43" s="21"/>
    </row>
    <row r="44" spans="2:12" ht="18.600000000000001" x14ac:dyDescent="0.45">
      <c r="C44" s="2"/>
      <c r="D44" s="2"/>
      <c r="E44" s="2"/>
      <c r="F44" s="2"/>
      <c r="G44" s="2"/>
    </row>
    <row r="45" spans="2:12" ht="18.600000000000001" x14ac:dyDescent="0.45">
      <c r="C45" s="2"/>
      <c r="D45" s="2"/>
      <c r="E45" s="2"/>
      <c r="F45" s="2"/>
      <c r="G45" s="2"/>
    </row>
  </sheetData>
  <mergeCells count="19">
    <mergeCell ref="F37:G37"/>
    <mergeCell ref="D16:E16"/>
    <mergeCell ref="D26:E26"/>
    <mergeCell ref="D27:E27"/>
    <mergeCell ref="D29:E29"/>
    <mergeCell ref="D30:E30"/>
    <mergeCell ref="C33:E33"/>
    <mergeCell ref="D25:E25"/>
    <mergeCell ref="D15:E15"/>
    <mergeCell ref="D17:E17"/>
    <mergeCell ref="D21:E21"/>
    <mergeCell ref="D23:E23"/>
    <mergeCell ref="D24:E24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389D-6522-439C-A7C5-8981EFF94E56}">
  <sheetPr>
    <pageSetUpPr fitToPage="1"/>
  </sheetPr>
  <dimension ref="B3:L45"/>
  <sheetViews>
    <sheetView view="pageBreakPreview" topLeftCell="A15" zoomScale="85" zoomScaleNormal="85" zoomScaleSheetLayoutView="85" workbookViewId="0">
      <selection activeCell="F30" sqref="F30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.88671875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160</v>
      </c>
      <c r="F4" s="6" t="s">
        <v>2</v>
      </c>
      <c r="G4" s="24">
        <f>+E43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F33</f>
        <v>605030559.18999994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126</v>
      </c>
      <c r="F6" s="7" t="s">
        <v>5</v>
      </c>
      <c r="G6" s="25">
        <f>G4-G5</f>
        <v>-281593400.95019996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-0.87062786008471982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47"/>
      <c r="H17" s="35"/>
      <c r="L17" s="104"/>
    </row>
    <row r="18" spans="2:12" ht="5.4" customHeight="1" thickBot="1" x14ac:dyDescent="0.55000000000000004">
      <c r="B18" s="34"/>
      <c r="C18" s="65"/>
      <c r="D18" s="88"/>
      <c r="E18" s="88"/>
      <c r="F18" s="89"/>
      <c r="G18" s="64"/>
      <c r="H18" s="35"/>
    </row>
    <row r="19" spans="2:12" ht="21.6" thickTop="1" thickBot="1" x14ac:dyDescent="0.55000000000000004">
      <c r="B19" s="34"/>
      <c r="C19" s="40"/>
      <c r="D19" s="29"/>
      <c r="E19" s="61" t="s">
        <v>14</v>
      </c>
      <c r="F19" s="62">
        <f>SUM(F12:F17)</f>
        <v>593675430.18999994</v>
      </c>
      <c r="G19" s="63">
        <f>G4-F19</f>
        <v>-270238271.95019996</v>
      </c>
      <c r="H19" s="35"/>
    </row>
    <row r="20" spans="2:12" ht="5.4" customHeight="1" thickTop="1" x14ac:dyDescent="0.5">
      <c r="B20" s="34"/>
      <c r="C20" s="68"/>
      <c r="D20" s="38"/>
      <c r="E20" s="69"/>
      <c r="F20" s="70"/>
      <c r="G20" s="71"/>
      <c r="H20" s="35"/>
    </row>
    <row r="21" spans="2:12" ht="21" x14ac:dyDescent="0.5">
      <c r="B21" s="34"/>
      <c r="C21" s="84"/>
      <c r="D21" s="118" t="s">
        <v>28</v>
      </c>
      <c r="E21" s="119"/>
      <c r="F21" s="90">
        <v>0</v>
      </c>
      <c r="G21" s="75"/>
      <c r="H21" s="35"/>
    </row>
    <row r="22" spans="2:12" ht="6" customHeight="1" x14ac:dyDescent="0.5">
      <c r="B22" s="34"/>
      <c r="C22" s="84"/>
      <c r="D22" s="76"/>
      <c r="E22" s="77"/>
      <c r="F22" s="90"/>
      <c r="G22" s="75"/>
      <c r="H22" s="35"/>
    </row>
    <row r="23" spans="2:12" ht="20.399999999999999" x14ac:dyDescent="0.5">
      <c r="B23" s="34"/>
      <c r="C23" s="67" t="s">
        <v>12</v>
      </c>
      <c r="D23" s="120" t="s">
        <v>27</v>
      </c>
      <c r="E23" s="121"/>
      <c r="F23" s="79" t="s">
        <v>29</v>
      </c>
      <c r="G23" s="72" t="s">
        <v>30</v>
      </c>
      <c r="H23" s="35"/>
      <c r="L23" s="105">
        <f>264666902+35000000+50000000+35000000+50985790+60000000+22500000+17599900+9700717+10000000</f>
        <v>555453309</v>
      </c>
    </row>
    <row r="24" spans="2:12" ht="19.8" x14ac:dyDescent="0.45">
      <c r="B24" s="34"/>
      <c r="C24" s="103"/>
      <c r="D24" s="122" t="s">
        <v>134</v>
      </c>
      <c r="E24" s="123"/>
      <c r="F24" s="94">
        <v>0</v>
      </c>
      <c r="G24" s="95">
        <v>0</v>
      </c>
      <c r="H24" s="35"/>
      <c r="L24" s="105"/>
    </row>
    <row r="25" spans="2:12" ht="19.8" customHeight="1" x14ac:dyDescent="0.45">
      <c r="B25" s="34"/>
      <c r="C25" s="85">
        <v>44911</v>
      </c>
      <c r="D25" s="134" t="s">
        <v>129</v>
      </c>
      <c r="E25" s="135"/>
      <c r="F25" s="94">
        <v>1912878.8099999996</v>
      </c>
      <c r="G25" s="95">
        <v>0</v>
      </c>
      <c r="H25" s="35"/>
      <c r="L25" s="105"/>
    </row>
    <row r="26" spans="2:12" ht="19.8" customHeight="1" x14ac:dyDescent="0.45">
      <c r="B26" s="34"/>
      <c r="C26" s="85">
        <v>44911</v>
      </c>
      <c r="D26" s="134" t="s">
        <v>130</v>
      </c>
      <c r="E26" s="135"/>
      <c r="F26" s="94">
        <v>9442250.1899999995</v>
      </c>
      <c r="G26" s="95">
        <f>15941803-F26</f>
        <v>6499552.8100000005</v>
      </c>
      <c r="H26" s="35"/>
      <c r="L26" s="105"/>
    </row>
    <row r="27" spans="2:12" ht="19.8" customHeight="1" x14ac:dyDescent="0.45">
      <c r="B27" s="34"/>
      <c r="C27" s="85"/>
      <c r="D27" s="134"/>
      <c r="E27" s="135"/>
      <c r="F27" s="94"/>
      <c r="G27" s="95"/>
      <c r="H27" s="35"/>
      <c r="L27" s="105"/>
    </row>
    <row r="28" spans="2:12" ht="7.8" customHeight="1" x14ac:dyDescent="0.5">
      <c r="B28" s="34"/>
      <c r="C28" s="85"/>
      <c r="D28" s="66"/>
      <c r="E28" s="82"/>
      <c r="F28" s="92"/>
      <c r="G28" s="93"/>
      <c r="H28" s="35"/>
      <c r="L28" s="39"/>
    </row>
    <row r="29" spans="2:12" ht="19.2" customHeight="1" x14ac:dyDescent="0.5">
      <c r="B29" s="34"/>
      <c r="C29" s="67" t="s">
        <v>12</v>
      </c>
      <c r="D29" s="124" t="s">
        <v>32</v>
      </c>
      <c r="E29" s="121"/>
      <c r="F29" s="79"/>
      <c r="G29" s="73"/>
      <c r="H29" s="35"/>
      <c r="L29" s="39">
        <v>3240937.71</v>
      </c>
    </row>
    <row r="30" spans="2:12" ht="21" x14ac:dyDescent="0.5">
      <c r="B30" s="34"/>
      <c r="C30" s="85">
        <v>45019</v>
      </c>
      <c r="D30" s="130" t="s">
        <v>128</v>
      </c>
      <c r="E30" s="131"/>
      <c r="F30" s="80">
        <v>11355129</v>
      </c>
      <c r="G30" s="74"/>
      <c r="H30" s="35"/>
    </row>
    <row r="31" spans="2:12" ht="21" x14ac:dyDescent="0.5">
      <c r="B31" s="34"/>
      <c r="C31" s="86"/>
      <c r="D31" s="43"/>
      <c r="E31" s="83" t="s">
        <v>13</v>
      </c>
      <c r="F31" s="81">
        <f>F30-SUM(F24:F27)</f>
        <v>0</v>
      </c>
      <c r="G31" s="44"/>
      <c r="H31" s="35"/>
      <c r="L31" s="1">
        <v>8785214.7100000009</v>
      </c>
    </row>
    <row r="32" spans="2:12" ht="10.199999999999999" customHeight="1" thickBot="1" x14ac:dyDescent="0.5">
      <c r="B32" s="34"/>
      <c r="C32" s="30"/>
      <c r="D32" s="29"/>
      <c r="E32" s="29"/>
      <c r="F32" s="29"/>
      <c r="G32" s="28"/>
      <c r="H32" s="35"/>
    </row>
    <row r="33" spans="2:12" ht="21" thickTop="1" x14ac:dyDescent="0.5">
      <c r="B33" s="34"/>
      <c r="C33" s="112" t="s">
        <v>15</v>
      </c>
      <c r="D33" s="113"/>
      <c r="E33" s="113"/>
      <c r="F33" s="49">
        <f>F19+F30</f>
        <v>605030559.18999994</v>
      </c>
      <c r="G33" s="50">
        <f>G4-F33</f>
        <v>-281593400.95019996</v>
      </c>
      <c r="H33" s="35"/>
      <c r="L33" s="101">
        <v>26970387.809999999</v>
      </c>
    </row>
    <row r="34" spans="2:12" ht="20.399999999999999" x14ac:dyDescent="0.5">
      <c r="B34" s="34"/>
      <c r="C34" s="51" t="s">
        <v>16</v>
      </c>
      <c r="D34" s="45"/>
      <c r="E34" s="52"/>
      <c r="F34" s="53"/>
      <c r="G34" s="54"/>
      <c r="H34" s="35"/>
    </row>
    <row r="35" spans="2:12" ht="21" x14ac:dyDescent="0.5">
      <c r="B35" s="34"/>
      <c r="C35" s="55" t="s">
        <v>17</v>
      </c>
      <c r="D35" s="56" t="s">
        <v>1</v>
      </c>
      <c r="E35" s="41">
        <f>F31</f>
        <v>0</v>
      </c>
      <c r="F35" s="53"/>
      <c r="G35" s="54"/>
      <c r="H35" s="35"/>
      <c r="L35" s="1">
        <v>6499552.8099999996</v>
      </c>
    </row>
    <row r="36" spans="2:12" ht="20.399999999999999" x14ac:dyDescent="0.5">
      <c r="B36" s="34"/>
      <c r="C36" s="55" t="s">
        <v>18</v>
      </c>
      <c r="D36" s="56" t="s">
        <v>1</v>
      </c>
      <c r="E36" s="57" t="s">
        <v>19</v>
      </c>
      <c r="F36" s="53"/>
      <c r="G36" s="54"/>
      <c r="H36" s="35"/>
    </row>
    <row r="37" spans="2:12" ht="20.399999999999999" x14ac:dyDescent="0.5">
      <c r="B37" s="34"/>
      <c r="C37" s="58" t="s">
        <v>20</v>
      </c>
      <c r="D37" s="59" t="s">
        <v>1</v>
      </c>
      <c r="E37" s="60" t="s">
        <v>55</v>
      </c>
      <c r="F37" s="114" t="s">
        <v>26</v>
      </c>
      <c r="G37" s="115"/>
      <c r="H37" s="35"/>
    </row>
    <row r="38" spans="2:12" ht="6" customHeight="1" x14ac:dyDescent="0.45">
      <c r="B38" s="36"/>
      <c r="C38" s="27"/>
      <c r="D38" s="27"/>
      <c r="E38" s="27"/>
      <c r="F38" s="27"/>
      <c r="G38" s="27"/>
      <c r="H38" s="37"/>
    </row>
    <row r="39" spans="2:12" ht="18.600000000000001" x14ac:dyDescent="0.45">
      <c r="C39" s="2"/>
      <c r="D39" s="2"/>
      <c r="E39" s="2"/>
      <c r="F39" s="2"/>
      <c r="G39" s="2"/>
    </row>
    <row r="40" spans="2:12" ht="19.8" x14ac:dyDescent="0.45">
      <c r="C40" s="12" t="s">
        <v>21</v>
      </c>
      <c r="D40" s="13"/>
      <c r="E40" s="14"/>
      <c r="F40" s="15"/>
      <c r="G40" s="2"/>
    </row>
    <row r="41" spans="2:12" ht="19.8" x14ac:dyDescent="0.35">
      <c r="C41" s="12"/>
      <c r="D41" s="13"/>
      <c r="E41" s="14"/>
      <c r="F41" s="16" t="s">
        <v>22</v>
      </c>
      <c r="G41" s="17">
        <v>15000000</v>
      </c>
    </row>
    <row r="42" spans="2:12" ht="19.8" x14ac:dyDescent="0.35">
      <c r="C42" s="12" t="s">
        <v>23</v>
      </c>
      <c r="D42" s="13"/>
      <c r="E42" s="14">
        <v>32343715823.98</v>
      </c>
      <c r="F42" s="18" t="s">
        <v>24</v>
      </c>
      <c r="G42" s="19"/>
    </row>
    <row r="43" spans="2:12" ht="19.8" x14ac:dyDescent="0.35">
      <c r="C43" s="20">
        <v>0.01</v>
      </c>
      <c r="D43" s="13"/>
      <c r="E43" s="14">
        <f>E42*C43</f>
        <v>323437158.23979998</v>
      </c>
      <c r="F43" s="18" t="s">
        <v>25</v>
      </c>
      <c r="G43" s="21"/>
    </row>
    <row r="44" spans="2:12" ht="18.600000000000001" x14ac:dyDescent="0.45">
      <c r="C44" s="2"/>
      <c r="D44" s="2"/>
      <c r="E44" s="2"/>
      <c r="F44" s="2"/>
      <c r="G44" s="2"/>
    </row>
    <row r="45" spans="2:12" ht="18.600000000000001" x14ac:dyDescent="0.45">
      <c r="C45" s="2"/>
      <c r="D45" s="2"/>
      <c r="E45" s="2"/>
      <c r="F45" s="2"/>
      <c r="G45" s="2"/>
    </row>
  </sheetData>
  <mergeCells count="19">
    <mergeCell ref="F37:G37"/>
    <mergeCell ref="D25:E25"/>
    <mergeCell ref="D26:E26"/>
    <mergeCell ref="D27:E27"/>
    <mergeCell ref="D29:E29"/>
    <mergeCell ref="D30:E30"/>
    <mergeCell ref="C33:E33"/>
    <mergeCell ref="D24:E24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8B71-86B0-4457-B551-69D256273B33}">
  <sheetPr>
    <pageSetUpPr fitToPage="1"/>
  </sheetPr>
  <dimension ref="B3:L46"/>
  <sheetViews>
    <sheetView view="pageBreakPreview" topLeftCell="A11" zoomScale="85" zoomScaleNormal="85" zoomScaleSheetLayoutView="85" workbookViewId="0">
      <selection activeCell="F31" sqref="F3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.88671875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161</v>
      </c>
      <c r="F4" s="6" t="s">
        <v>2</v>
      </c>
      <c r="G4" s="24">
        <f>+E44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F34</f>
        <v>619814495.18999994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131</v>
      </c>
      <c r="F6" s="7" t="s">
        <v>5</v>
      </c>
      <c r="G6" s="25">
        <f>G4-G5</f>
        <v>-296377336.95019996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-0.9163366960158067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137</v>
      </c>
      <c r="D18" s="133" t="s">
        <v>144</v>
      </c>
      <c r="E18" s="128"/>
      <c r="F18" s="97">
        <f>+LK.11!F30</f>
        <v>11355129</v>
      </c>
      <c r="G18" s="47"/>
      <c r="H18" s="35"/>
      <c r="L18" s="104"/>
    </row>
    <row r="19" spans="2:12" ht="5.4" customHeight="1" thickBot="1" x14ac:dyDescent="0.55000000000000004">
      <c r="B19" s="34"/>
      <c r="C19" s="65"/>
      <c r="D19" s="88"/>
      <c r="E19" s="88"/>
      <c r="F19" s="89"/>
      <c r="G19" s="64"/>
      <c r="H19" s="35"/>
    </row>
    <row r="20" spans="2:12" ht="21.6" thickTop="1" thickBot="1" x14ac:dyDescent="0.55000000000000004">
      <c r="B20" s="34"/>
      <c r="C20" s="40"/>
      <c r="D20" s="29"/>
      <c r="E20" s="61" t="s">
        <v>14</v>
      </c>
      <c r="F20" s="62">
        <f>SUM(F12:F18)</f>
        <v>605030559.18999994</v>
      </c>
      <c r="G20" s="63">
        <f>G4-F20</f>
        <v>-281593400.95019996</v>
      </c>
      <c r="H20" s="35"/>
    </row>
    <row r="21" spans="2:12" ht="5.4" customHeight="1" thickTop="1" x14ac:dyDescent="0.5">
      <c r="B21" s="34"/>
      <c r="C21" s="68"/>
      <c r="D21" s="38"/>
      <c r="E21" s="69"/>
      <c r="F21" s="70"/>
      <c r="G21" s="71"/>
      <c r="H21" s="35"/>
    </row>
    <row r="22" spans="2:12" ht="21" x14ac:dyDescent="0.5">
      <c r="B22" s="34"/>
      <c r="C22" s="84"/>
      <c r="D22" s="118" t="s">
        <v>28</v>
      </c>
      <c r="E22" s="119"/>
      <c r="F22" s="90">
        <v>0</v>
      </c>
      <c r="G22" s="75"/>
      <c r="H22" s="35"/>
    </row>
    <row r="23" spans="2:12" ht="6" customHeight="1" x14ac:dyDescent="0.5">
      <c r="B23" s="34"/>
      <c r="C23" s="84"/>
      <c r="D23" s="76"/>
      <c r="E23" s="77"/>
      <c r="F23" s="90"/>
      <c r="G23" s="75"/>
      <c r="H23" s="35"/>
    </row>
    <row r="24" spans="2:12" ht="20.399999999999999" x14ac:dyDescent="0.5">
      <c r="B24" s="34"/>
      <c r="C24" s="67" t="s">
        <v>12</v>
      </c>
      <c r="D24" s="120" t="s">
        <v>27</v>
      </c>
      <c r="E24" s="121"/>
      <c r="F24" s="79" t="s">
        <v>29</v>
      </c>
      <c r="G24" s="72" t="s">
        <v>30</v>
      </c>
      <c r="H24" s="35"/>
      <c r="L24" s="105">
        <f>264666902+35000000+50000000+35000000+50985790+60000000+22500000+17599900+9700717+10000000+10000000</f>
        <v>565453309</v>
      </c>
    </row>
    <row r="25" spans="2:12" ht="19.8" x14ac:dyDescent="0.45">
      <c r="B25" s="34"/>
      <c r="C25" s="103"/>
      <c r="D25" s="122" t="s">
        <v>135</v>
      </c>
      <c r="E25" s="123"/>
      <c r="F25" s="94">
        <v>0</v>
      </c>
      <c r="G25" s="95">
        <v>0</v>
      </c>
      <c r="H25" s="35"/>
      <c r="L25" s="105"/>
    </row>
    <row r="26" spans="2:12" ht="19.8" customHeight="1" x14ac:dyDescent="0.45">
      <c r="B26" s="34"/>
      <c r="C26" s="85">
        <v>44911</v>
      </c>
      <c r="D26" s="134" t="s">
        <v>133</v>
      </c>
      <c r="E26" s="135"/>
      <c r="F26" s="94">
        <v>6499552.8100000005</v>
      </c>
      <c r="G26" s="95">
        <v>0</v>
      </c>
      <c r="H26" s="35"/>
      <c r="L26" s="105"/>
    </row>
    <row r="27" spans="2:12" ht="19.8" customHeight="1" x14ac:dyDescent="0.45">
      <c r="B27" s="34"/>
      <c r="C27" s="85">
        <v>44937</v>
      </c>
      <c r="D27" s="134" t="s">
        <v>136</v>
      </c>
      <c r="E27" s="135"/>
      <c r="F27" s="94">
        <v>8284383.1900000004</v>
      </c>
      <c r="G27" s="95">
        <f>75000000-F27</f>
        <v>66715616.810000002</v>
      </c>
      <c r="H27" s="35"/>
      <c r="L27" s="105"/>
    </row>
    <row r="28" spans="2:12" ht="19.8" customHeight="1" x14ac:dyDescent="0.45">
      <c r="B28" s="34"/>
      <c r="C28" s="85"/>
      <c r="D28" s="134"/>
      <c r="E28" s="135"/>
      <c r="F28" s="94"/>
      <c r="G28" s="95"/>
      <c r="H28" s="35"/>
      <c r="L28" s="105"/>
    </row>
    <row r="29" spans="2:12" ht="7.8" customHeight="1" x14ac:dyDescent="0.5">
      <c r="B29" s="34"/>
      <c r="C29" s="85"/>
      <c r="D29" s="66"/>
      <c r="E29" s="82"/>
      <c r="F29" s="92"/>
      <c r="G29" s="93"/>
      <c r="H29" s="35"/>
      <c r="L29" s="39"/>
    </row>
    <row r="30" spans="2:12" ht="19.2" customHeight="1" x14ac:dyDescent="0.5">
      <c r="B30" s="34"/>
      <c r="C30" s="67" t="s">
        <v>12</v>
      </c>
      <c r="D30" s="124" t="s">
        <v>32</v>
      </c>
      <c r="E30" s="121"/>
      <c r="F30" s="79"/>
      <c r="G30" s="73"/>
      <c r="H30" s="35"/>
      <c r="L30" s="39">
        <v>3240937.71</v>
      </c>
    </row>
    <row r="31" spans="2:12" ht="21" x14ac:dyDescent="0.5">
      <c r="B31" s="34"/>
      <c r="C31" s="85">
        <v>45019</v>
      </c>
      <c r="D31" s="130" t="s">
        <v>132</v>
      </c>
      <c r="E31" s="131"/>
      <c r="F31" s="80">
        <v>14783936</v>
      </c>
      <c r="G31" s="74"/>
      <c r="H31" s="35"/>
    </row>
    <row r="32" spans="2:12" ht="21" x14ac:dyDescent="0.5">
      <c r="B32" s="34"/>
      <c r="C32" s="86"/>
      <c r="D32" s="43"/>
      <c r="E32" s="83" t="s">
        <v>13</v>
      </c>
      <c r="F32" s="81">
        <f>F31-SUM(F25:F28)</f>
        <v>0</v>
      </c>
      <c r="G32" s="44"/>
      <c r="H32" s="35"/>
      <c r="L32" s="1">
        <v>8785214.7100000009</v>
      </c>
    </row>
    <row r="33" spans="2:12" ht="10.199999999999999" customHeight="1" thickBot="1" x14ac:dyDescent="0.5">
      <c r="B33" s="34"/>
      <c r="C33" s="30"/>
      <c r="D33" s="29"/>
      <c r="E33" s="29"/>
      <c r="F33" s="29"/>
      <c r="G33" s="28"/>
      <c r="H33" s="35"/>
    </row>
    <row r="34" spans="2:12" ht="21" thickTop="1" x14ac:dyDescent="0.5">
      <c r="B34" s="34"/>
      <c r="C34" s="112" t="s">
        <v>15</v>
      </c>
      <c r="D34" s="113"/>
      <c r="E34" s="113"/>
      <c r="F34" s="49">
        <f>F20+F31</f>
        <v>619814495.18999994</v>
      </c>
      <c r="G34" s="50">
        <f>G4-F34</f>
        <v>-296377336.95019996</v>
      </c>
      <c r="H34" s="35"/>
      <c r="L34" s="101">
        <v>26970387.809999999</v>
      </c>
    </row>
    <row r="35" spans="2:12" ht="20.399999999999999" x14ac:dyDescent="0.5">
      <c r="B35" s="34"/>
      <c r="C35" s="51" t="s">
        <v>16</v>
      </c>
      <c r="D35" s="45"/>
      <c r="E35" s="52"/>
      <c r="F35" s="53"/>
      <c r="G35" s="54"/>
      <c r="H35" s="35"/>
    </row>
    <row r="36" spans="2:12" ht="21" x14ac:dyDescent="0.5">
      <c r="B36" s="34"/>
      <c r="C36" s="55" t="s">
        <v>17</v>
      </c>
      <c r="D36" s="56" t="s">
        <v>1</v>
      </c>
      <c r="E36" s="41">
        <f>F32</f>
        <v>0</v>
      </c>
      <c r="F36" s="53"/>
      <c r="G36" s="54"/>
      <c r="H36" s="35"/>
      <c r="L36" s="1">
        <v>6499552.8099999996</v>
      </c>
    </row>
    <row r="37" spans="2:12" ht="20.399999999999999" x14ac:dyDescent="0.5">
      <c r="B37" s="34"/>
      <c r="C37" s="55" t="s">
        <v>18</v>
      </c>
      <c r="D37" s="56" t="s">
        <v>1</v>
      </c>
      <c r="E37" s="57" t="s">
        <v>19</v>
      </c>
      <c r="F37" s="53"/>
      <c r="G37" s="54"/>
      <c r="H37" s="35"/>
    </row>
    <row r="38" spans="2:12" ht="20.399999999999999" x14ac:dyDescent="0.5">
      <c r="B38" s="34"/>
      <c r="C38" s="58" t="s">
        <v>20</v>
      </c>
      <c r="D38" s="59" t="s">
        <v>1</v>
      </c>
      <c r="E38" s="60" t="s">
        <v>55</v>
      </c>
      <c r="F38" s="114" t="s">
        <v>26</v>
      </c>
      <c r="G38" s="115"/>
      <c r="H38" s="35"/>
    </row>
    <row r="39" spans="2:12" ht="6" customHeight="1" x14ac:dyDescent="0.45">
      <c r="B39" s="36"/>
      <c r="C39" s="27"/>
      <c r="D39" s="27"/>
      <c r="E39" s="27"/>
      <c r="F39" s="27"/>
      <c r="G39" s="27"/>
      <c r="H39" s="37"/>
    </row>
    <row r="40" spans="2:12" ht="18.600000000000001" x14ac:dyDescent="0.45">
      <c r="C40" s="2"/>
      <c r="D40" s="2"/>
      <c r="E40" s="2"/>
      <c r="F40" s="2"/>
      <c r="G40" s="2"/>
    </row>
    <row r="41" spans="2:12" ht="19.8" x14ac:dyDescent="0.45">
      <c r="C41" s="12" t="s">
        <v>21</v>
      </c>
      <c r="D41" s="13"/>
      <c r="E41" s="14"/>
      <c r="F41" s="15"/>
      <c r="G41" s="2"/>
    </row>
    <row r="42" spans="2:12" ht="19.8" x14ac:dyDescent="0.35">
      <c r="C42" s="12"/>
      <c r="D42" s="13"/>
      <c r="E42" s="14"/>
      <c r="F42" s="16" t="s">
        <v>22</v>
      </c>
      <c r="G42" s="17">
        <v>15000000</v>
      </c>
    </row>
    <row r="43" spans="2:12" ht="19.8" x14ac:dyDescent="0.35">
      <c r="C43" s="12" t="s">
        <v>23</v>
      </c>
      <c r="D43" s="13"/>
      <c r="E43" s="14">
        <v>32343715823.98</v>
      </c>
      <c r="F43" s="18" t="s">
        <v>24</v>
      </c>
      <c r="G43" s="19"/>
    </row>
    <row r="44" spans="2:12" ht="19.8" x14ac:dyDescent="0.35">
      <c r="C44" s="20">
        <v>0.01</v>
      </c>
      <c r="D44" s="13"/>
      <c r="E44" s="14">
        <f>E43*C44</f>
        <v>323437158.23979998</v>
      </c>
      <c r="F44" s="18" t="s">
        <v>25</v>
      </c>
      <c r="G44" s="21"/>
    </row>
    <row r="45" spans="2:12" ht="18.600000000000001" x14ac:dyDescent="0.45">
      <c r="C45" s="2"/>
      <c r="D45" s="2"/>
      <c r="E45" s="2"/>
      <c r="F45" s="2"/>
      <c r="G45" s="2"/>
    </row>
    <row r="46" spans="2:12" ht="18.600000000000001" x14ac:dyDescent="0.45">
      <c r="C46" s="2"/>
      <c r="D46" s="2"/>
      <c r="E46" s="2"/>
      <c r="F46" s="2"/>
      <c r="G46" s="2"/>
    </row>
  </sheetData>
  <mergeCells count="20">
    <mergeCell ref="D14:E14"/>
    <mergeCell ref="C9:E9"/>
    <mergeCell ref="D10:E10"/>
    <mergeCell ref="D11:E11"/>
    <mergeCell ref="D12:E12"/>
    <mergeCell ref="D13:E13"/>
    <mergeCell ref="D15:E15"/>
    <mergeCell ref="D16:E16"/>
    <mergeCell ref="D18:E18"/>
    <mergeCell ref="D22:E22"/>
    <mergeCell ref="D24:E24"/>
    <mergeCell ref="F38:G38"/>
    <mergeCell ref="D17:E17"/>
    <mergeCell ref="D26:E26"/>
    <mergeCell ref="D27:E27"/>
    <mergeCell ref="D28:E28"/>
    <mergeCell ref="D30:E30"/>
    <mergeCell ref="D31:E31"/>
    <mergeCell ref="C34:E34"/>
    <mergeCell ref="D25:E25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0C09-5FF7-41AD-ACF6-B6F312BA590A}">
  <sheetPr>
    <pageSetUpPr fitToPage="1"/>
  </sheetPr>
  <dimension ref="B3:L45"/>
  <sheetViews>
    <sheetView view="pageBreakPreview" topLeftCell="A13" zoomScale="85" zoomScaleNormal="85" zoomScaleSheetLayoutView="85" workbookViewId="0">
      <selection activeCell="F29" sqref="F2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.88671875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162</v>
      </c>
      <c r="F4" s="6" t="s">
        <v>2</v>
      </c>
      <c r="G4" s="24">
        <f>+E43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F33</f>
        <v>635515747.58999991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138</v>
      </c>
      <c r="F6" s="7" t="s">
        <v>5</v>
      </c>
      <c r="G6" s="25">
        <f>G4-G5</f>
        <v>-312078589.35019994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-0.96488168226738291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141</v>
      </c>
      <c r="D18" s="133" t="s">
        <v>142</v>
      </c>
      <c r="E18" s="128"/>
      <c r="F18" s="97">
        <f>+LK.11!F30+LK.12!F31</f>
        <v>26139065</v>
      </c>
      <c r="G18" s="47"/>
      <c r="H18" s="35"/>
      <c r="L18" s="104"/>
    </row>
    <row r="19" spans="2:12" ht="5.4" customHeight="1" thickBot="1" x14ac:dyDescent="0.55000000000000004">
      <c r="B19" s="34"/>
      <c r="C19" s="65"/>
      <c r="D19" s="88"/>
      <c r="E19" s="88"/>
      <c r="F19" s="89"/>
      <c r="G19" s="64"/>
      <c r="H19" s="35"/>
    </row>
    <row r="20" spans="2:12" ht="21.6" thickTop="1" thickBot="1" x14ac:dyDescent="0.55000000000000004">
      <c r="B20" s="34"/>
      <c r="C20" s="40"/>
      <c r="D20" s="29"/>
      <c r="E20" s="61" t="s">
        <v>14</v>
      </c>
      <c r="F20" s="62">
        <f>SUM(F12:F18)</f>
        <v>619814495.18999994</v>
      </c>
      <c r="G20" s="63">
        <f>G4-F20</f>
        <v>-296377336.95019996</v>
      </c>
      <c r="H20" s="35"/>
    </row>
    <row r="21" spans="2:12" ht="5.4" customHeight="1" thickTop="1" x14ac:dyDescent="0.5">
      <c r="B21" s="34"/>
      <c r="C21" s="68"/>
      <c r="D21" s="38"/>
      <c r="E21" s="69"/>
      <c r="F21" s="70"/>
      <c r="G21" s="71"/>
      <c r="H21" s="35"/>
    </row>
    <row r="22" spans="2:12" ht="21" x14ac:dyDescent="0.5">
      <c r="B22" s="34"/>
      <c r="C22" s="84"/>
      <c r="D22" s="118" t="s">
        <v>28</v>
      </c>
      <c r="E22" s="119"/>
      <c r="F22" s="90">
        <v>0</v>
      </c>
      <c r="G22" s="75"/>
      <c r="H22" s="35"/>
    </row>
    <row r="23" spans="2:12" ht="6" customHeight="1" x14ac:dyDescent="0.5">
      <c r="B23" s="34"/>
      <c r="C23" s="84"/>
      <c r="D23" s="76"/>
      <c r="E23" s="77"/>
      <c r="F23" s="90"/>
      <c r="G23" s="75"/>
      <c r="H23" s="35"/>
    </row>
    <row r="24" spans="2:12" ht="20.399999999999999" x14ac:dyDescent="0.5">
      <c r="B24" s="34"/>
      <c r="C24" s="67" t="s">
        <v>12</v>
      </c>
      <c r="D24" s="120" t="s">
        <v>27</v>
      </c>
      <c r="E24" s="121"/>
      <c r="F24" s="79" t="s">
        <v>29</v>
      </c>
      <c r="G24" s="72" t="s">
        <v>30</v>
      </c>
      <c r="H24" s="35"/>
      <c r="L24" s="105">
        <f>264666902+35000000+50000000+35000000+50985790+60000000+22500000+17599900+9700717+10000000+10000000+15941803</f>
        <v>581395112</v>
      </c>
    </row>
    <row r="25" spans="2:12" ht="19.8" x14ac:dyDescent="0.45">
      <c r="B25" s="34"/>
      <c r="C25" s="103"/>
      <c r="D25" s="122" t="s">
        <v>139</v>
      </c>
      <c r="E25" s="123"/>
      <c r="F25" s="94">
        <v>0</v>
      </c>
      <c r="G25" s="95">
        <v>0</v>
      </c>
      <c r="H25" s="35"/>
      <c r="L25" s="105"/>
    </row>
    <row r="26" spans="2:12" ht="19.8" customHeight="1" x14ac:dyDescent="0.45">
      <c r="B26" s="34"/>
      <c r="C26" s="85">
        <v>44937</v>
      </c>
      <c r="D26" s="134" t="s">
        <v>140</v>
      </c>
      <c r="E26" s="135"/>
      <c r="F26" s="94">
        <v>15701252.4</v>
      </c>
      <c r="G26" s="95">
        <f>75000000-F26-8284383.19</f>
        <v>51014364.410000004</v>
      </c>
      <c r="H26" s="35"/>
      <c r="L26" s="105"/>
    </row>
    <row r="27" spans="2:12" ht="19.8" customHeight="1" x14ac:dyDescent="0.45">
      <c r="B27" s="34"/>
      <c r="C27" s="85"/>
      <c r="D27" s="134"/>
      <c r="E27" s="135"/>
      <c r="F27" s="94"/>
      <c r="G27" s="95"/>
      <c r="H27" s="35"/>
      <c r="L27" s="105"/>
    </row>
    <row r="28" spans="2:12" ht="7.8" customHeight="1" x14ac:dyDescent="0.5">
      <c r="B28" s="34"/>
      <c r="C28" s="85"/>
      <c r="D28" s="66"/>
      <c r="E28" s="82"/>
      <c r="F28" s="92"/>
      <c r="G28" s="93"/>
      <c r="H28" s="35"/>
      <c r="L28" s="39"/>
    </row>
    <row r="29" spans="2:12" ht="19.2" customHeight="1" x14ac:dyDescent="0.5">
      <c r="B29" s="34"/>
      <c r="C29" s="67" t="s">
        <v>12</v>
      </c>
      <c r="D29" s="124" t="s">
        <v>32</v>
      </c>
      <c r="E29" s="121"/>
      <c r="F29" s="79"/>
      <c r="G29" s="73"/>
      <c r="H29" s="35"/>
      <c r="L29" s="39">
        <v>3240937.71</v>
      </c>
    </row>
    <row r="30" spans="2:12" ht="21" x14ac:dyDescent="0.5">
      <c r="B30" s="34"/>
      <c r="C30" s="85">
        <v>45019</v>
      </c>
      <c r="D30" s="130" t="s">
        <v>146</v>
      </c>
      <c r="E30" s="131"/>
      <c r="F30" s="80">
        <v>15701252.4</v>
      </c>
      <c r="G30" s="74"/>
      <c r="H30" s="35"/>
    </row>
    <row r="31" spans="2:12" ht="21" x14ac:dyDescent="0.5">
      <c r="B31" s="34"/>
      <c r="C31" s="86"/>
      <c r="D31" s="43"/>
      <c r="E31" s="83" t="s">
        <v>13</v>
      </c>
      <c r="F31" s="81">
        <f>F30-SUM(F25:F27)</f>
        <v>0</v>
      </c>
      <c r="G31" s="44"/>
      <c r="H31" s="35"/>
      <c r="L31" s="1">
        <v>8785214.7100000009</v>
      </c>
    </row>
    <row r="32" spans="2:12" ht="10.199999999999999" customHeight="1" thickBot="1" x14ac:dyDescent="0.5">
      <c r="B32" s="34"/>
      <c r="C32" s="30"/>
      <c r="D32" s="29"/>
      <c r="E32" s="29"/>
      <c r="F32" s="29"/>
      <c r="G32" s="28"/>
      <c r="H32" s="35"/>
    </row>
    <row r="33" spans="2:12" ht="21" thickTop="1" x14ac:dyDescent="0.5">
      <c r="B33" s="34"/>
      <c r="C33" s="112" t="s">
        <v>15</v>
      </c>
      <c r="D33" s="113"/>
      <c r="E33" s="113"/>
      <c r="F33" s="49">
        <f>F20+F30</f>
        <v>635515747.58999991</v>
      </c>
      <c r="G33" s="50">
        <f>G4-F33</f>
        <v>-312078589.35019994</v>
      </c>
      <c r="H33" s="35"/>
      <c r="L33" s="101">
        <v>26970387.809999999</v>
      </c>
    </row>
    <row r="34" spans="2:12" ht="20.399999999999999" x14ac:dyDescent="0.5">
      <c r="B34" s="34"/>
      <c r="C34" s="51" t="s">
        <v>16</v>
      </c>
      <c r="D34" s="45"/>
      <c r="E34" s="52"/>
      <c r="F34" s="53"/>
      <c r="G34" s="54"/>
      <c r="H34" s="35"/>
    </row>
    <row r="35" spans="2:12" ht="21" x14ac:dyDescent="0.5">
      <c r="B35" s="34"/>
      <c r="C35" s="55" t="s">
        <v>17</v>
      </c>
      <c r="D35" s="56" t="s">
        <v>1</v>
      </c>
      <c r="E35" s="41">
        <f>F31</f>
        <v>0</v>
      </c>
      <c r="F35" s="53"/>
      <c r="G35" s="54"/>
      <c r="H35" s="35"/>
      <c r="L35" s="1">
        <v>6499552.8099999996</v>
      </c>
    </row>
    <row r="36" spans="2:12" ht="20.399999999999999" x14ac:dyDescent="0.5">
      <c r="B36" s="34"/>
      <c r="C36" s="55" t="s">
        <v>18</v>
      </c>
      <c r="D36" s="56" t="s">
        <v>1</v>
      </c>
      <c r="E36" s="57" t="s">
        <v>19</v>
      </c>
      <c r="F36" s="53"/>
      <c r="G36" s="54"/>
      <c r="H36" s="35"/>
    </row>
    <row r="37" spans="2:12" ht="20.399999999999999" x14ac:dyDescent="0.5">
      <c r="B37" s="34"/>
      <c r="C37" s="58" t="s">
        <v>20</v>
      </c>
      <c r="D37" s="59" t="s">
        <v>1</v>
      </c>
      <c r="E37" s="60" t="s">
        <v>55</v>
      </c>
      <c r="F37" s="114" t="s">
        <v>26</v>
      </c>
      <c r="G37" s="115"/>
      <c r="H37" s="35"/>
    </row>
    <row r="38" spans="2:12" ht="6" customHeight="1" x14ac:dyDescent="0.45">
      <c r="B38" s="36"/>
      <c r="C38" s="27"/>
      <c r="D38" s="27"/>
      <c r="E38" s="27"/>
      <c r="F38" s="27"/>
      <c r="G38" s="27"/>
      <c r="H38" s="37"/>
    </row>
    <row r="39" spans="2:12" ht="18.600000000000001" x14ac:dyDescent="0.45">
      <c r="C39" s="2"/>
      <c r="D39" s="2"/>
      <c r="E39" s="2"/>
      <c r="F39" s="2"/>
      <c r="G39" s="2"/>
    </row>
    <row r="40" spans="2:12" ht="19.8" x14ac:dyDescent="0.45">
      <c r="C40" s="12" t="s">
        <v>21</v>
      </c>
      <c r="D40" s="13"/>
      <c r="E40" s="14"/>
      <c r="F40" s="15"/>
      <c r="G40" s="2"/>
    </row>
    <row r="41" spans="2:12" ht="19.8" x14ac:dyDescent="0.35">
      <c r="C41" s="12"/>
      <c r="D41" s="13"/>
      <c r="E41" s="14"/>
      <c r="F41" s="16" t="s">
        <v>22</v>
      </c>
      <c r="G41" s="17">
        <v>15000000</v>
      </c>
    </row>
    <row r="42" spans="2:12" ht="19.8" x14ac:dyDescent="0.35">
      <c r="C42" s="12" t="s">
        <v>23</v>
      </c>
      <c r="D42" s="13"/>
      <c r="E42" s="14">
        <v>32343715823.98</v>
      </c>
      <c r="F42" s="18" t="s">
        <v>24</v>
      </c>
      <c r="G42" s="19"/>
    </row>
    <row r="43" spans="2:12" ht="19.8" x14ac:dyDescent="0.35">
      <c r="C43" s="20">
        <v>0.01</v>
      </c>
      <c r="D43" s="13"/>
      <c r="E43" s="14">
        <f>E42*C43</f>
        <v>323437158.23979998</v>
      </c>
      <c r="F43" s="18" t="s">
        <v>25</v>
      </c>
      <c r="G43" s="21"/>
    </row>
    <row r="44" spans="2:12" ht="18.600000000000001" x14ac:dyDescent="0.45">
      <c r="C44" s="2"/>
      <c r="D44" s="2"/>
      <c r="E44" s="2"/>
      <c r="F44" s="2"/>
      <c r="G44" s="2"/>
    </row>
    <row r="45" spans="2:12" ht="18.600000000000001" x14ac:dyDescent="0.45">
      <c r="C45" s="2"/>
      <c r="D45" s="2"/>
      <c r="E45" s="2"/>
      <c r="F45" s="2"/>
      <c r="G45" s="2"/>
    </row>
  </sheetData>
  <mergeCells count="19">
    <mergeCell ref="D24:E24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2:E22"/>
    <mergeCell ref="C33:E33"/>
    <mergeCell ref="F37:G37"/>
    <mergeCell ref="D25:E25"/>
    <mergeCell ref="D26:E26"/>
    <mergeCell ref="D27:E27"/>
    <mergeCell ref="D29:E29"/>
    <mergeCell ref="D30:E30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9650-B795-4630-9C4D-B5D8AB17352B}">
  <sheetPr>
    <pageSetUpPr fitToPage="1"/>
  </sheetPr>
  <dimension ref="B3:L46"/>
  <sheetViews>
    <sheetView view="pageBreakPreview" topLeftCell="A11" zoomScale="85" zoomScaleNormal="85" zoomScaleSheetLayoutView="85" workbookViewId="0">
      <selection activeCell="F31" sqref="F3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.88671875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163</v>
      </c>
      <c r="F4" s="6" t="s">
        <v>2</v>
      </c>
      <c r="G4" s="24">
        <f>+E44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F34</f>
        <v>644212539.98999989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147</v>
      </c>
      <c r="F6" s="7" t="s">
        <v>5</v>
      </c>
      <c r="G6" s="25">
        <f>G4-G5</f>
        <v>-320775381.75019991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-0.99177034418653098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141</v>
      </c>
      <c r="D18" s="133" t="s">
        <v>142</v>
      </c>
      <c r="E18" s="128"/>
      <c r="F18" s="97">
        <f>+LK.11!F30+LK.12!F31</f>
        <v>26139065</v>
      </c>
      <c r="G18" s="52"/>
      <c r="H18" s="35"/>
    </row>
    <row r="19" spans="2:12" ht="20.399999999999999" x14ac:dyDescent="0.5">
      <c r="B19" s="34"/>
      <c r="C19" s="87" t="s">
        <v>150</v>
      </c>
      <c r="D19" s="133" t="s">
        <v>151</v>
      </c>
      <c r="E19" s="128"/>
      <c r="F19" s="97">
        <f>+LK.13!F30</f>
        <v>15701252.4</v>
      </c>
      <c r="G19" s="47"/>
      <c r="H19" s="35"/>
      <c r="L19" s="104"/>
    </row>
    <row r="20" spans="2:12" ht="5.4" customHeight="1" thickBot="1" x14ac:dyDescent="0.55000000000000004">
      <c r="B20" s="34"/>
      <c r="C20" s="65"/>
      <c r="D20" s="88"/>
      <c r="E20" s="88"/>
      <c r="F20" s="89"/>
      <c r="G20" s="64"/>
      <c r="H20" s="35"/>
    </row>
    <row r="21" spans="2:12" ht="21.6" thickTop="1" thickBot="1" x14ac:dyDescent="0.55000000000000004">
      <c r="B21" s="34"/>
      <c r="C21" s="40"/>
      <c r="D21" s="29"/>
      <c r="E21" s="61" t="s">
        <v>14</v>
      </c>
      <c r="F21" s="62">
        <f>SUM(F12:F19)</f>
        <v>635515747.58999991</v>
      </c>
      <c r="G21" s="63">
        <f>G4-F21</f>
        <v>-312078589.35019994</v>
      </c>
      <c r="H21" s="35"/>
    </row>
    <row r="22" spans="2:12" ht="5.4" customHeight="1" thickTop="1" x14ac:dyDescent="0.5">
      <c r="B22" s="34"/>
      <c r="C22" s="68"/>
      <c r="D22" s="38"/>
      <c r="E22" s="69"/>
      <c r="F22" s="70"/>
      <c r="G22" s="71"/>
      <c r="H22" s="35"/>
    </row>
    <row r="23" spans="2:12" ht="21" x14ac:dyDescent="0.5">
      <c r="B23" s="34"/>
      <c r="C23" s="84"/>
      <c r="D23" s="118" t="s">
        <v>28</v>
      </c>
      <c r="E23" s="119"/>
      <c r="F23" s="90">
        <v>0</v>
      </c>
      <c r="G23" s="75"/>
      <c r="H23" s="35"/>
    </row>
    <row r="24" spans="2:12" ht="6" customHeight="1" x14ac:dyDescent="0.5">
      <c r="B24" s="34"/>
      <c r="C24" s="84"/>
      <c r="D24" s="76"/>
      <c r="E24" s="77"/>
      <c r="F24" s="90"/>
      <c r="G24" s="75"/>
      <c r="H24" s="35"/>
    </row>
    <row r="25" spans="2:12" ht="20.399999999999999" x14ac:dyDescent="0.5">
      <c r="B25" s="34"/>
      <c r="C25" s="67" t="s">
        <v>12</v>
      </c>
      <c r="D25" s="120" t="s">
        <v>27</v>
      </c>
      <c r="E25" s="121"/>
      <c r="F25" s="79" t="s">
        <v>29</v>
      </c>
      <c r="G25" s="72" t="s">
        <v>30</v>
      </c>
      <c r="H25" s="35"/>
      <c r="L25" s="105">
        <f>264666902+35000000+50000000+35000000+50985790+60000000+22500000+17599900+9700717+10000000+10000000+15941803</f>
        <v>581395112</v>
      </c>
    </row>
    <row r="26" spans="2:12" ht="19.8" x14ac:dyDescent="0.45">
      <c r="B26" s="34"/>
      <c r="C26" s="103"/>
      <c r="D26" s="122" t="s">
        <v>139</v>
      </c>
      <c r="E26" s="123"/>
      <c r="F26" s="94">
        <v>0</v>
      </c>
      <c r="G26" s="95">
        <v>0</v>
      </c>
      <c r="H26" s="35"/>
      <c r="L26" s="105"/>
    </row>
    <row r="27" spans="2:12" ht="19.8" customHeight="1" x14ac:dyDescent="0.45">
      <c r="B27" s="34"/>
      <c r="C27" s="85">
        <v>44937</v>
      </c>
      <c r="D27" s="134" t="s">
        <v>149</v>
      </c>
      <c r="E27" s="135"/>
      <c r="F27" s="94">
        <v>8696792.4000000004</v>
      </c>
      <c r="G27" s="95">
        <f>75000000-F27-8284383.19-15701252.4</f>
        <v>42317572.010000005</v>
      </c>
      <c r="H27" s="35"/>
      <c r="L27" s="105"/>
    </row>
    <row r="28" spans="2:12" ht="19.8" customHeight="1" x14ac:dyDescent="0.45">
      <c r="B28" s="34"/>
      <c r="C28" s="85"/>
      <c r="D28" s="134"/>
      <c r="E28" s="135"/>
      <c r="F28" s="94"/>
      <c r="G28" s="95"/>
      <c r="H28" s="35"/>
      <c r="L28" s="105">
        <f>15701252.4+8284383.19</f>
        <v>23985635.59</v>
      </c>
    </row>
    <row r="29" spans="2:12" ht="7.8" customHeight="1" x14ac:dyDescent="0.5">
      <c r="B29" s="34"/>
      <c r="C29" s="85"/>
      <c r="D29" s="66"/>
      <c r="E29" s="82"/>
      <c r="F29" s="92"/>
      <c r="G29" s="93"/>
      <c r="H29" s="35"/>
      <c r="L29" s="39"/>
    </row>
    <row r="30" spans="2:12" ht="19.2" customHeight="1" x14ac:dyDescent="0.5">
      <c r="B30" s="34"/>
      <c r="C30" s="67" t="s">
        <v>12</v>
      </c>
      <c r="D30" s="124" t="s">
        <v>32</v>
      </c>
      <c r="E30" s="121"/>
      <c r="F30" s="79"/>
      <c r="G30" s="73"/>
      <c r="H30" s="35"/>
      <c r="L30" s="39">
        <v>3240937.71</v>
      </c>
    </row>
    <row r="31" spans="2:12" ht="21" x14ac:dyDescent="0.5">
      <c r="B31" s="34"/>
      <c r="C31" s="85">
        <v>45019</v>
      </c>
      <c r="D31" s="130" t="s">
        <v>148</v>
      </c>
      <c r="E31" s="131"/>
      <c r="F31" s="80">
        <v>8696792.4000000004</v>
      </c>
      <c r="G31" s="74"/>
      <c r="H31" s="35"/>
    </row>
    <row r="32" spans="2:12" ht="21" x14ac:dyDescent="0.5">
      <c r="B32" s="34"/>
      <c r="C32" s="86"/>
      <c r="D32" s="43"/>
      <c r="E32" s="83" t="s">
        <v>13</v>
      </c>
      <c r="F32" s="81">
        <f>F31-SUM(F26:F28)</f>
        <v>0</v>
      </c>
      <c r="G32" s="44"/>
      <c r="H32" s="35"/>
      <c r="L32" s="1">
        <v>8785214.7100000009</v>
      </c>
    </row>
    <row r="33" spans="2:12" ht="10.199999999999999" customHeight="1" thickBot="1" x14ac:dyDescent="0.5">
      <c r="B33" s="34"/>
      <c r="C33" s="30"/>
      <c r="D33" s="29"/>
      <c r="E33" s="29"/>
      <c r="F33" s="29"/>
      <c r="G33" s="28"/>
      <c r="H33" s="35"/>
    </row>
    <row r="34" spans="2:12" ht="21" thickTop="1" x14ac:dyDescent="0.5">
      <c r="B34" s="34"/>
      <c r="C34" s="112" t="s">
        <v>15</v>
      </c>
      <c r="D34" s="113"/>
      <c r="E34" s="113"/>
      <c r="F34" s="49">
        <f>F21+F31</f>
        <v>644212539.98999989</v>
      </c>
      <c r="G34" s="50">
        <f>G4-F34</f>
        <v>-320775381.75019991</v>
      </c>
      <c r="H34" s="35"/>
      <c r="L34" s="101">
        <v>26970387.809999999</v>
      </c>
    </row>
    <row r="35" spans="2:12" ht="20.399999999999999" x14ac:dyDescent="0.5">
      <c r="B35" s="34"/>
      <c r="C35" s="51" t="s">
        <v>16</v>
      </c>
      <c r="D35" s="45"/>
      <c r="E35" s="52"/>
      <c r="F35" s="53"/>
      <c r="G35" s="54"/>
      <c r="H35" s="35"/>
    </row>
    <row r="36" spans="2:12" ht="21" x14ac:dyDescent="0.5">
      <c r="B36" s="34"/>
      <c r="C36" s="55" t="s">
        <v>17</v>
      </c>
      <c r="D36" s="56" t="s">
        <v>1</v>
      </c>
      <c r="E36" s="41">
        <f>F32</f>
        <v>0</v>
      </c>
      <c r="F36" s="53"/>
      <c r="G36" s="54"/>
      <c r="H36" s="35"/>
      <c r="L36" s="1">
        <v>23985635.59</v>
      </c>
    </row>
    <row r="37" spans="2:12" ht="20.399999999999999" x14ac:dyDescent="0.5">
      <c r="B37" s="34"/>
      <c r="C37" s="55" t="s">
        <v>18</v>
      </c>
      <c r="D37" s="56" t="s">
        <v>1</v>
      </c>
      <c r="E37" s="57" t="s">
        <v>19</v>
      </c>
      <c r="F37" s="53"/>
      <c r="G37" s="54"/>
      <c r="H37" s="35"/>
    </row>
    <row r="38" spans="2:12" ht="20.399999999999999" x14ac:dyDescent="0.5">
      <c r="B38" s="34"/>
      <c r="C38" s="58" t="s">
        <v>20</v>
      </c>
      <c r="D38" s="59" t="s">
        <v>1</v>
      </c>
      <c r="E38" s="60" t="s">
        <v>55</v>
      </c>
      <c r="F38" s="114" t="s">
        <v>26</v>
      </c>
      <c r="G38" s="115"/>
      <c r="H38" s="35"/>
    </row>
    <row r="39" spans="2:12" ht="6" customHeight="1" x14ac:dyDescent="0.45">
      <c r="B39" s="36"/>
      <c r="C39" s="27"/>
      <c r="D39" s="27"/>
      <c r="E39" s="27"/>
      <c r="F39" s="27"/>
      <c r="G39" s="27"/>
      <c r="H39" s="37"/>
    </row>
    <row r="40" spans="2:12" ht="18.600000000000001" x14ac:dyDescent="0.45">
      <c r="C40" s="2"/>
      <c r="D40" s="2"/>
      <c r="E40" s="2"/>
      <c r="F40" s="2"/>
      <c r="G40" s="2"/>
    </row>
    <row r="41" spans="2:12" ht="19.8" x14ac:dyDescent="0.45">
      <c r="C41" s="12" t="s">
        <v>21</v>
      </c>
      <c r="D41" s="13"/>
      <c r="E41" s="14"/>
      <c r="F41" s="15"/>
      <c r="G41" s="2"/>
    </row>
    <row r="42" spans="2:12" ht="19.8" x14ac:dyDescent="0.35">
      <c r="C42" s="12"/>
      <c r="D42" s="13"/>
      <c r="E42" s="14"/>
      <c r="F42" s="16" t="s">
        <v>22</v>
      </c>
      <c r="G42" s="17">
        <v>15000000</v>
      </c>
    </row>
    <row r="43" spans="2:12" ht="19.8" x14ac:dyDescent="0.35">
      <c r="C43" s="12" t="s">
        <v>23</v>
      </c>
      <c r="D43" s="13"/>
      <c r="E43" s="14">
        <v>32343715823.98</v>
      </c>
      <c r="F43" s="18" t="s">
        <v>24</v>
      </c>
      <c r="G43" s="19"/>
    </row>
    <row r="44" spans="2:12" ht="19.8" x14ac:dyDescent="0.35">
      <c r="C44" s="20">
        <v>0.01</v>
      </c>
      <c r="D44" s="13"/>
      <c r="E44" s="14">
        <f>E43*C44</f>
        <v>323437158.23979998</v>
      </c>
      <c r="F44" s="18" t="s">
        <v>25</v>
      </c>
      <c r="G44" s="21"/>
    </row>
    <row r="45" spans="2:12" ht="18.600000000000001" x14ac:dyDescent="0.45">
      <c r="C45" s="2"/>
      <c r="D45" s="2"/>
      <c r="E45" s="2"/>
      <c r="F45" s="2"/>
      <c r="G45" s="2"/>
    </row>
    <row r="46" spans="2:12" ht="18.600000000000001" x14ac:dyDescent="0.45">
      <c r="C46" s="2"/>
      <c r="D46" s="2"/>
      <c r="E46" s="2"/>
      <c r="F46" s="2"/>
      <c r="G46" s="2"/>
    </row>
  </sheetData>
  <mergeCells count="20">
    <mergeCell ref="D23:E23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C34:E34"/>
    <mergeCell ref="F38:G38"/>
    <mergeCell ref="D25:E25"/>
    <mergeCell ref="D26:E26"/>
    <mergeCell ref="D27:E27"/>
    <mergeCell ref="D28:E28"/>
    <mergeCell ref="D30:E30"/>
    <mergeCell ref="D31:E31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BCC0-A6AC-498A-A909-4E4BB9B2F0FC}">
  <sheetPr>
    <pageSetUpPr fitToPage="1"/>
  </sheetPr>
  <dimension ref="B3:L46"/>
  <sheetViews>
    <sheetView view="pageBreakPreview" topLeftCell="A11" zoomScale="85" zoomScaleNormal="85" zoomScaleSheetLayoutView="85" workbookViewId="0">
      <selection activeCell="F31" sqref="F3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.88671875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164</v>
      </c>
      <c r="F4" s="6" t="s">
        <v>2</v>
      </c>
      <c r="G4" s="24">
        <f>+E44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F34</f>
        <v>663341091.98999989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152</v>
      </c>
      <c r="F6" s="7" t="s">
        <v>5</v>
      </c>
      <c r="G6" s="25">
        <f>G4-G5</f>
        <v>-339903933.75019991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-1.050911823489963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141</v>
      </c>
      <c r="D18" s="133" t="s">
        <v>142</v>
      </c>
      <c r="E18" s="128"/>
      <c r="F18" s="97">
        <f>+LK.11!F30+LK.12!F31</f>
        <v>26139065</v>
      </c>
      <c r="G18" s="52"/>
      <c r="H18" s="35"/>
    </row>
    <row r="19" spans="2:12" ht="20.399999999999999" x14ac:dyDescent="0.5">
      <c r="B19" s="34"/>
      <c r="C19" s="87" t="s">
        <v>155</v>
      </c>
      <c r="D19" s="133" t="s">
        <v>156</v>
      </c>
      <c r="E19" s="128"/>
      <c r="F19" s="97">
        <f>+LK.13!F30+LK.14!F31</f>
        <v>24398044.800000001</v>
      </c>
      <c r="G19" s="47"/>
      <c r="H19" s="35"/>
      <c r="L19" s="104"/>
    </row>
    <row r="20" spans="2:12" ht="5.4" customHeight="1" thickBot="1" x14ac:dyDescent="0.55000000000000004">
      <c r="B20" s="34"/>
      <c r="C20" s="65"/>
      <c r="D20" s="88"/>
      <c r="E20" s="88"/>
      <c r="F20" s="89"/>
      <c r="G20" s="64"/>
      <c r="H20" s="35"/>
    </row>
    <row r="21" spans="2:12" ht="21.6" thickTop="1" thickBot="1" x14ac:dyDescent="0.55000000000000004">
      <c r="B21" s="34"/>
      <c r="C21" s="40"/>
      <c r="D21" s="29"/>
      <c r="E21" s="61" t="s">
        <v>14</v>
      </c>
      <c r="F21" s="62">
        <f>SUM(F12:F19)</f>
        <v>644212539.98999989</v>
      </c>
      <c r="G21" s="63">
        <f>G4-F21</f>
        <v>-320775381.75019991</v>
      </c>
      <c r="H21" s="35"/>
    </row>
    <row r="22" spans="2:12" ht="5.4" customHeight="1" thickTop="1" x14ac:dyDescent="0.5">
      <c r="B22" s="34"/>
      <c r="C22" s="68"/>
      <c r="D22" s="38"/>
      <c r="E22" s="69"/>
      <c r="F22" s="70"/>
      <c r="G22" s="71"/>
      <c r="H22" s="35"/>
    </row>
    <row r="23" spans="2:12" ht="21" x14ac:dyDescent="0.5">
      <c r="B23" s="34"/>
      <c r="C23" s="84"/>
      <c r="D23" s="118" t="s">
        <v>28</v>
      </c>
      <c r="E23" s="119"/>
      <c r="F23" s="90">
        <v>0</v>
      </c>
      <c r="G23" s="75"/>
      <c r="H23" s="35"/>
    </row>
    <row r="24" spans="2:12" ht="6" customHeight="1" x14ac:dyDescent="0.5">
      <c r="B24" s="34"/>
      <c r="C24" s="84"/>
      <c r="D24" s="76"/>
      <c r="E24" s="77"/>
      <c r="F24" s="90"/>
      <c r="G24" s="75"/>
      <c r="H24" s="35"/>
    </row>
    <row r="25" spans="2:12" ht="20.399999999999999" x14ac:dyDescent="0.5">
      <c r="B25" s="34"/>
      <c r="C25" s="67" t="s">
        <v>12</v>
      </c>
      <c r="D25" s="120" t="s">
        <v>27</v>
      </c>
      <c r="E25" s="121"/>
      <c r="F25" s="79" t="s">
        <v>29</v>
      </c>
      <c r="G25" s="72" t="s">
        <v>30</v>
      </c>
      <c r="H25" s="35"/>
      <c r="L25" s="105">
        <f>264666902+35000000+50000000+35000000+50985790+60000000+22500000+17599900+9700717+10000000+10000000+15941803</f>
        <v>581395112</v>
      </c>
    </row>
    <row r="26" spans="2:12" ht="19.8" x14ac:dyDescent="0.45">
      <c r="B26" s="34"/>
      <c r="C26" s="103"/>
      <c r="D26" s="122" t="s">
        <v>139</v>
      </c>
      <c r="E26" s="123"/>
      <c r="F26" s="94">
        <v>0</v>
      </c>
      <c r="G26" s="95">
        <v>0</v>
      </c>
      <c r="H26" s="35"/>
      <c r="L26" s="105"/>
    </row>
    <row r="27" spans="2:12" ht="19.8" customHeight="1" x14ac:dyDescent="0.45">
      <c r="B27" s="34"/>
      <c r="C27" s="85">
        <v>44937</v>
      </c>
      <c r="D27" s="134" t="s">
        <v>154</v>
      </c>
      <c r="E27" s="135"/>
      <c r="F27" s="94">
        <v>19128552</v>
      </c>
      <c r="G27" s="95">
        <f>75000000-32682427.99-F27</f>
        <v>23189020.010000005</v>
      </c>
      <c r="H27" s="35"/>
      <c r="L27" s="105"/>
    </row>
    <row r="28" spans="2:12" ht="19.8" customHeight="1" x14ac:dyDescent="0.45">
      <c r="B28" s="34"/>
      <c r="C28" s="85"/>
      <c r="D28" s="134"/>
      <c r="E28" s="135"/>
      <c r="F28" s="94"/>
      <c r="G28" s="95"/>
      <c r="H28" s="35"/>
      <c r="L28" s="105">
        <f>15701252.4+8284383.19+8696792.4</f>
        <v>32682427.990000002</v>
      </c>
    </row>
    <row r="29" spans="2:12" ht="7.8" customHeight="1" x14ac:dyDescent="0.5">
      <c r="B29" s="34"/>
      <c r="C29" s="85"/>
      <c r="D29" s="66"/>
      <c r="E29" s="82"/>
      <c r="F29" s="92"/>
      <c r="G29" s="93"/>
      <c r="H29" s="35"/>
      <c r="L29" s="39"/>
    </row>
    <row r="30" spans="2:12" ht="19.2" customHeight="1" x14ac:dyDescent="0.5">
      <c r="B30" s="34"/>
      <c r="C30" s="67" t="s">
        <v>12</v>
      </c>
      <c r="D30" s="124" t="s">
        <v>32</v>
      </c>
      <c r="E30" s="121"/>
      <c r="F30" s="79"/>
      <c r="G30" s="73"/>
      <c r="H30" s="35"/>
      <c r="L30" s="39">
        <v>3240937.71</v>
      </c>
    </row>
    <row r="31" spans="2:12" ht="21" x14ac:dyDescent="0.5">
      <c r="B31" s="34"/>
      <c r="C31" s="85">
        <v>45019</v>
      </c>
      <c r="D31" s="130" t="s">
        <v>153</v>
      </c>
      <c r="E31" s="131"/>
      <c r="F31" s="80">
        <v>19128552</v>
      </c>
      <c r="G31" s="74"/>
      <c r="H31" s="35"/>
    </row>
    <row r="32" spans="2:12" ht="21" x14ac:dyDescent="0.5">
      <c r="B32" s="34"/>
      <c r="C32" s="86"/>
      <c r="D32" s="43"/>
      <c r="E32" s="83" t="s">
        <v>13</v>
      </c>
      <c r="F32" s="81">
        <f>F31-SUM(F26:F28)</f>
        <v>0</v>
      </c>
      <c r="G32" s="44"/>
      <c r="H32" s="35"/>
      <c r="L32" s="1">
        <v>8785214.7100000009</v>
      </c>
    </row>
    <row r="33" spans="2:12" ht="10.199999999999999" customHeight="1" thickBot="1" x14ac:dyDescent="0.5">
      <c r="B33" s="34"/>
      <c r="C33" s="30"/>
      <c r="D33" s="29"/>
      <c r="E33" s="29"/>
      <c r="F33" s="29"/>
      <c r="G33" s="28"/>
      <c r="H33" s="35"/>
    </row>
    <row r="34" spans="2:12" ht="21" thickTop="1" x14ac:dyDescent="0.5">
      <c r="B34" s="34"/>
      <c r="C34" s="112" t="s">
        <v>15</v>
      </c>
      <c r="D34" s="113"/>
      <c r="E34" s="113"/>
      <c r="F34" s="49">
        <f>F21+F31</f>
        <v>663341091.98999989</v>
      </c>
      <c r="G34" s="50">
        <f>G4-F34</f>
        <v>-339903933.75019991</v>
      </c>
      <c r="H34" s="35"/>
      <c r="L34" s="101">
        <v>26970387.809999999</v>
      </c>
    </row>
    <row r="35" spans="2:12" ht="20.399999999999999" x14ac:dyDescent="0.5">
      <c r="B35" s="34"/>
      <c r="C35" s="51" t="s">
        <v>16</v>
      </c>
      <c r="D35" s="45"/>
      <c r="E35" s="52"/>
      <c r="F35" s="53"/>
      <c r="G35" s="54"/>
      <c r="H35" s="35"/>
    </row>
    <row r="36" spans="2:12" ht="21" x14ac:dyDescent="0.5">
      <c r="B36" s="34"/>
      <c r="C36" s="55" t="s">
        <v>17</v>
      </c>
      <c r="D36" s="56" t="s">
        <v>1</v>
      </c>
      <c r="E36" s="41">
        <f>F32</f>
        <v>0</v>
      </c>
      <c r="F36" s="53"/>
      <c r="G36" s="54"/>
      <c r="H36" s="35"/>
      <c r="L36" s="1">
        <v>23189020.010000002</v>
      </c>
    </row>
    <row r="37" spans="2:12" ht="20.399999999999999" x14ac:dyDescent="0.5">
      <c r="B37" s="34"/>
      <c r="C37" s="55" t="s">
        <v>18</v>
      </c>
      <c r="D37" s="56" t="s">
        <v>1</v>
      </c>
      <c r="E37" s="57" t="s">
        <v>19</v>
      </c>
      <c r="F37" s="53"/>
      <c r="G37" s="54"/>
      <c r="H37" s="35"/>
      <c r="L37" s="108"/>
    </row>
    <row r="38" spans="2:12" ht="20.399999999999999" x14ac:dyDescent="0.5">
      <c r="B38" s="34"/>
      <c r="C38" s="58" t="s">
        <v>20</v>
      </c>
      <c r="D38" s="59" t="s">
        <v>1</v>
      </c>
      <c r="E38" s="60" t="s">
        <v>55</v>
      </c>
      <c r="F38" s="114" t="s">
        <v>26</v>
      </c>
      <c r="G38" s="115"/>
      <c r="H38" s="35"/>
      <c r="L38" s="109"/>
    </row>
    <row r="39" spans="2:12" ht="6" customHeight="1" x14ac:dyDescent="0.45">
      <c r="B39" s="36"/>
      <c r="C39" s="27"/>
      <c r="D39" s="27"/>
      <c r="E39" s="27"/>
      <c r="F39" s="27"/>
      <c r="G39" s="27"/>
      <c r="H39" s="37"/>
    </row>
    <row r="40" spans="2:12" ht="18.600000000000001" x14ac:dyDescent="0.45">
      <c r="C40" s="2"/>
      <c r="D40" s="2"/>
      <c r="E40" s="2"/>
      <c r="F40" s="2"/>
      <c r="G40" s="2"/>
    </row>
    <row r="41" spans="2:12" ht="19.8" x14ac:dyDescent="0.45">
      <c r="C41" s="12" t="s">
        <v>21</v>
      </c>
      <c r="D41" s="13"/>
      <c r="E41" s="14"/>
      <c r="F41" s="15"/>
      <c r="G41" s="2"/>
    </row>
    <row r="42" spans="2:12" ht="19.8" x14ac:dyDescent="0.35">
      <c r="C42" s="12"/>
      <c r="D42" s="13"/>
      <c r="E42" s="14"/>
      <c r="F42" s="16" t="s">
        <v>22</v>
      </c>
      <c r="G42" s="17">
        <v>15000000</v>
      </c>
    </row>
    <row r="43" spans="2:12" ht="19.8" x14ac:dyDescent="0.35">
      <c r="C43" s="12" t="s">
        <v>23</v>
      </c>
      <c r="D43" s="13"/>
      <c r="E43" s="14">
        <v>32343715823.98</v>
      </c>
      <c r="F43" s="18" t="s">
        <v>24</v>
      </c>
      <c r="G43" s="19"/>
    </row>
    <row r="44" spans="2:12" ht="19.8" x14ac:dyDescent="0.35">
      <c r="C44" s="20">
        <v>0.01</v>
      </c>
      <c r="D44" s="13"/>
      <c r="E44" s="14">
        <f>E43*C44</f>
        <v>323437158.23979998</v>
      </c>
      <c r="F44" s="18" t="s">
        <v>25</v>
      </c>
      <c r="G44" s="21"/>
    </row>
    <row r="45" spans="2:12" ht="18.600000000000001" x14ac:dyDescent="0.45">
      <c r="C45" s="2"/>
      <c r="D45" s="2"/>
      <c r="E45" s="2"/>
      <c r="F45" s="2"/>
      <c r="G45" s="2"/>
    </row>
    <row r="46" spans="2:12" ht="18.600000000000001" x14ac:dyDescent="0.45">
      <c r="C46" s="2"/>
      <c r="D46" s="2"/>
      <c r="E46" s="2"/>
      <c r="F46" s="2"/>
      <c r="G46" s="2"/>
    </row>
  </sheetData>
  <mergeCells count="20">
    <mergeCell ref="D14:E14"/>
    <mergeCell ref="C9:E9"/>
    <mergeCell ref="D10:E10"/>
    <mergeCell ref="D11:E11"/>
    <mergeCell ref="D12:E12"/>
    <mergeCell ref="D13:E13"/>
    <mergeCell ref="D15:E15"/>
    <mergeCell ref="D16:E16"/>
    <mergeCell ref="D17:E17"/>
    <mergeCell ref="D19:E19"/>
    <mergeCell ref="D23:E23"/>
    <mergeCell ref="F38:G38"/>
    <mergeCell ref="D18:E18"/>
    <mergeCell ref="D26:E26"/>
    <mergeCell ref="D27:E27"/>
    <mergeCell ref="D28:E28"/>
    <mergeCell ref="D30:E30"/>
    <mergeCell ref="D31:E31"/>
    <mergeCell ref="C34:E34"/>
    <mergeCell ref="D25:E25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8A11-8B08-4392-903C-909F82342D9A}">
  <sheetPr>
    <pageSetUpPr fitToPage="1"/>
  </sheetPr>
  <dimension ref="B3:L48"/>
  <sheetViews>
    <sheetView view="pageBreakPreview" topLeftCell="A22" zoomScale="85" zoomScaleNormal="85" zoomScaleSheetLayoutView="85" workbookViewId="0">
      <selection activeCell="F33" sqref="F33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.88671875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178</v>
      </c>
      <c r="F4" s="6" t="s">
        <v>2</v>
      </c>
      <c r="G4" s="24">
        <f>+E46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F36</f>
        <v>697433329.98999989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165</v>
      </c>
      <c r="F6" s="7" t="s">
        <v>5</v>
      </c>
      <c r="G6" s="25">
        <f>G4-G5</f>
        <v>-373996171.75019991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-1.1563178881039851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141</v>
      </c>
      <c r="D18" s="133" t="s">
        <v>142</v>
      </c>
      <c r="E18" s="128"/>
      <c r="F18" s="97">
        <f>+LK.11!F30+LK.12!F31</f>
        <v>26139065</v>
      </c>
      <c r="G18" s="52"/>
      <c r="H18" s="35"/>
    </row>
    <row r="19" spans="2:12" ht="20.399999999999999" x14ac:dyDescent="0.5">
      <c r="B19" s="34"/>
      <c r="C19" s="87" t="s">
        <v>155</v>
      </c>
      <c r="D19" s="133" t="s">
        <v>156</v>
      </c>
      <c r="E19" s="128"/>
      <c r="F19" s="97">
        <f>+LK.13!F30+LK.14!F31</f>
        <v>24398044.800000001</v>
      </c>
      <c r="G19" s="52"/>
      <c r="H19" s="35"/>
    </row>
    <row r="20" spans="2:12" ht="20.399999999999999" x14ac:dyDescent="0.5">
      <c r="B20" s="34"/>
      <c r="C20" s="87" t="s">
        <v>166</v>
      </c>
      <c r="D20" s="133" t="s">
        <v>167</v>
      </c>
      <c r="E20" s="128"/>
      <c r="F20" s="97">
        <f>+LK.15!F31</f>
        <v>19128552</v>
      </c>
      <c r="G20" s="47"/>
      <c r="H20" s="35"/>
      <c r="L20" s="104"/>
    </row>
    <row r="21" spans="2:12" ht="5.4" customHeight="1" thickBot="1" x14ac:dyDescent="0.55000000000000004">
      <c r="B21" s="34"/>
      <c r="C21" s="65"/>
      <c r="D21" s="88"/>
      <c r="E21" s="88"/>
      <c r="F21" s="89"/>
      <c r="G21" s="64"/>
      <c r="H21" s="35"/>
    </row>
    <row r="22" spans="2:12" ht="21.6" thickTop="1" thickBot="1" x14ac:dyDescent="0.55000000000000004">
      <c r="B22" s="34"/>
      <c r="C22" s="40"/>
      <c r="D22" s="29"/>
      <c r="E22" s="61" t="s">
        <v>14</v>
      </c>
      <c r="F22" s="62">
        <f>SUM(F12:F20)</f>
        <v>663341091.98999989</v>
      </c>
      <c r="G22" s="63">
        <f>G4-F22</f>
        <v>-339903933.75019991</v>
      </c>
      <c r="H22" s="35"/>
    </row>
    <row r="23" spans="2:12" ht="5.4" customHeight="1" thickTop="1" x14ac:dyDescent="0.5">
      <c r="B23" s="34"/>
      <c r="C23" s="68"/>
      <c r="D23" s="38"/>
      <c r="E23" s="69"/>
      <c r="F23" s="70"/>
      <c r="G23" s="71"/>
      <c r="H23" s="35"/>
    </row>
    <row r="24" spans="2:12" ht="21" x14ac:dyDescent="0.5">
      <c r="B24" s="34"/>
      <c r="C24" s="84"/>
      <c r="D24" s="118" t="s">
        <v>28</v>
      </c>
      <c r="E24" s="119"/>
      <c r="F24" s="90">
        <v>0</v>
      </c>
      <c r="G24" s="75"/>
      <c r="H24" s="35"/>
    </row>
    <row r="25" spans="2:12" ht="6" customHeight="1" x14ac:dyDescent="0.5">
      <c r="B25" s="34"/>
      <c r="C25" s="84"/>
      <c r="D25" s="76"/>
      <c r="E25" s="77"/>
      <c r="F25" s="90"/>
      <c r="G25" s="75"/>
      <c r="H25" s="35"/>
    </row>
    <row r="26" spans="2:12" ht="20.399999999999999" x14ac:dyDescent="0.5">
      <c r="B26" s="34"/>
      <c r="C26" s="67" t="s">
        <v>12</v>
      </c>
      <c r="D26" s="120" t="s">
        <v>27</v>
      </c>
      <c r="E26" s="121"/>
      <c r="F26" s="79" t="s">
        <v>29</v>
      </c>
      <c r="G26" s="72" t="s">
        <v>30</v>
      </c>
      <c r="H26" s="35"/>
      <c r="L26" s="105">
        <f>264666902+35000000+50000000+35000000+50985790+60000000+22500000+17599900+9700717+10000000+10000000+15941803</f>
        <v>581395112</v>
      </c>
    </row>
    <row r="27" spans="2:12" ht="19.8" x14ac:dyDescent="0.45">
      <c r="B27" s="34"/>
      <c r="C27" s="103"/>
      <c r="D27" s="122" t="s">
        <v>139</v>
      </c>
      <c r="E27" s="123"/>
      <c r="F27" s="94">
        <v>0</v>
      </c>
      <c r="G27" s="95">
        <v>0</v>
      </c>
      <c r="H27" s="35"/>
      <c r="L27" s="105"/>
    </row>
    <row r="28" spans="2:12" ht="19.8" customHeight="1" x14ac:dyDescent="0.45">
      <c r="B28" s="34"/>
      <c r="C28" s="85">
        <v>44937</v>
      </c>
      <c r="D28" s="134" t="s">
        <v>169</v>
      </c>
      <c r="E28" s="135"/>
      <c r="F28" s="94">
        <f>75000000-52305979.99</f>
        <v>22694020.009999998</v>
      </c>
      <c r="G28" s="95">
        <v>0</v>
      </c>
      <c r="H28" s="35"/>
      <c r="L28" s="105">
        <v>52305979.990000002</v>
      </c>
    </row>
    <row r="29" spans="2:12" ht="19.8" customHeight="1" x14ac:dyDescent="0.45">
      <c r="B29" s="34"/>
      <c r="C29" s="85">
        <v>44938</v>
      </c>
      <c r="D29" s="134" t="s">
        <v>170</v>
      </c>
      <c r="E29" s="135"/>
      <c r="F29" s="94">
        <v>11398217.99</v>
      </c>
      <c r="G29" s="95">
        <f>75000000-F29</f>
        <v>63601782.009999998</v>
      </c>
      <c r="H29" s="35"/>
      <c r="L29" s="105"/>
    </row>
    <row r="30" spans="2:12" ht="19.8" customHeight="1" x14ac:dyDescent="0.45">
      <c r="B30" s="34"/>
      <c r="C30" s="85"/>
      <c r="D30" s="134"/>
      <c r="E30" s="135"/>
      <c r="F30" s="94"/>
      <c r="G30" s="95"/>
      <c r="H30" s="35"/>
      <c r="L30" s="105">
        <f>15701252.4+8284383.19+8696792.4</f>
        <v>32682427.990000002</v>
      </c>
    </row>
    <row r="31" spans="2:12" ht="7.8" customHeight="1" x14ac:dyDescent="0.5">
      <c r="B31" s="34"/>
      <c r="C31" s="85"/>
      <c r="D31" s="66"/>
      <c r="E31" s="82"/>
      <c r="F31" s="92"/>
      <c r="G31" s="93"/>
      <c r="H31" s="35"/>
      <c r="L31" s="39"/>
    </row>
    <row r="32" spans="2:12" ht="19.2" customHeight="1" x14ac:dyDescent="0.5">
      <c r="B32" s="34"/>
      <c r="C32" s="67" t="s">
        <v>12</v>
      </c>
      <c r="D32" s="124" t="s">
        <v>32</v>
      </c>
      <c r="E32" s="121"/>
      <c r="F32" s="79"/>
      <c r="G32" s="73"/>
      <c r="H32" s="35"/>
      <c r="L32" s="39">
        <v>3240937.71</v>
      </c>
    </row>
    <row r="33" spans="2:12" ht="21" x14ac:dyDescent="0.5">
      <c r="B33" s="34"/>
      <c r="C33" s="85">
        <v>45019</v>
      </c>
      <c r="D33" s="130" t="s">
        <v>168</v>
      </c>
      <c r="E33" s="131"/>
      <c r="F33" s="80">
        <v>34092238</v>
      </c>
      <c r="G33" s="74"/>
      <c r="H33" s="35"/>
    </row>
    <row r="34" spans="2:12" ht="21" x14ac:dyDescent="0.5">
      <c r="B34" s="34"/>
      <c r="C34" s="86"/>
      <c r="D34" s="43"/>
      <c r="E34" s="83" t="s">
        <v>13</v>
      </c>
      <c r="F34" s="81">
        <f>F33-SUM(F27:F30)</f>
        <v>0</v>
      </c>
      <c r="G34" s="44"/>
      <c r="H34" s="35"/>
      <c r="L34" s="1">
        <v>8785214.7100000009</v>
      </c>
    </row>
    <row r="35" spans="2:12" ht="10.199999999999999" customHeight="1" thickBot="1" x14ac:dyDescent="0.5">
      <c r="B35" s="34"/>
      <c r="C35" s="30"/>
      <c r="D35" s="29"/>
      <c r="E35" s="29"/>
      <c r="F35" s="29"/>
      <c r="G35" s="28"/>
      <c r="H35" s="35"/>
    </row>
    <row r="36" spans="2:12" ht="21" thickTop="1" x14ac:dyDescent="0.5">
      <c r="B36" s="34"/>
      <c r="C36" s="112" t="s">
        <v>15</v>
      </c>
      <c r="D36" s="113"/>
      <c r="E36" s="113"/>
      <c r="F36" s="49">
        <f>F22+F33</f>
        <v>697433329.98999989</v>
      </c>
      <c r="G36" s="50">
        <f>G4-F36</f>
        <v>-373996171.75019991</v>
      </c>
      <c r="H36" s="35"/>
      <c r="L36" s="101">
        <v>26970387.809999999</v>
      </c>
    </row>
    <row r="37" spans="2:12" ht="20.399999999999999" x14ac:dyDescent="0.5">
      <c r="B37" s="34"/>
      <c r="C37" s="51" t="s">
        <v>16</v>
      </c>
      <c r="D37" s="45"/>
      <c r="E37" s="52"/>
      <c r="F37" s="53"/>
      <c r="G37" s="54"/>
      <c r="H37" s="35"/>
    </row>
    <row r="38" spans="2:12" ht="21" x14ac:dyDescent="0.5">
      <c r="B38" s="34"/>
      <c r="C38" s="55" t="s">
        <v>17</v>
      </c>
      <c r="D38" s="56" t="s">
        <v>1</v>
      </c>
      <c r="E38" s="41">
        <f>F34</f>
        <v>0</v>
      </c>
      <c r="F38" s="53"/>
      <c r="G38" s="54"/>
      <c r="H38" s="35"/>
      <c r="L38" s="1">
        <v>23189020.010000002</v>
      </c>
    </row>
    <row r="39" spans="2:12" ht="20.399999999999999" x14ac:dyDescent="0.5">
      <c r="B39" s="34"/>
      <c r="C39" s="55" t="s">
        <v>18</v>
      </c>
      <c r="D39" s="56" t="s">
        <v>1</v>
      </c>
      <c r="E39" s="57" t="s">
        <v>19</v>
      </c>
      <c r="F39" s="53"/>
      <c r="G39" s="54"/>
      <c r="H39" s="35"/>
      <c r="L39" s="108"/>
    </row>
    <row r="40" spans="2:12" ht="20.399999999999999" x14ac:dyDescent="0.5">
      <c r="B40" s="34"/>
      <c r="C40" s="58" t="s">
        <v>20</v>
      </c>
      <c r="D40" s="59" t="s">
        <v>1</v>
      </c>
      <c r="E40" s="60" t="s">
        <v>55</v>
      </c>
      <c r="F40" s="114" t="s">
        <v>26</v>
      </c>
      <c r="G40" s="115"/>
      <c r="H40" s="35"/>
      <c r="L40" s="109"/>
    </row>
    <row r="41" spans="2:12" ht="6" customHeight="1" x14ac:dyDescent="0.45">
      <c r="B41" s="36"/>
      <c r="C41" s="27"/>
      <c r="D41" s="27"/>
      <c r="E41" s="27"/>
      <c r="F41" s="27"/>
      <c r="G41" s="27"/>
      <c r="H41" s="37"/>
    </row>
    <row r="42" spans="2:12" ht="18.600000000000001" x14ac:dyDescent="0.45">
      <c r="C42" s="2"/>
      <c r="D42" s="2"/>
      <c r="E42" s="2"/>
      <c r="F42" s="2"/>
      <c r="G42" s="2"/>
    </row>
    <row r="43" spans="2:12" ht="19.8" x14ac:dyDescent="0.45">
      <c r="C43" s="12" t="s">
        <v>21</v>
      </c>
      <c r="D43" s="13"/>
      <c r="E43" s="14"/>
      <c r="F43" s="15"/>
      <c r="G43" s="2"/>
    </row>
    <row r="44" spans="2:12" ht="19.8" x14ac:dyDescent="0.35">
      <c r="C44" s="12"/>
      <c r="D44" s="13"/>
      <c r="E44" s="14"/>
      <c r="F44" s="16" t="s">
        <v>22</v>
      </c>
      <c r="G44" s="17">
        <v>15000000</v>
      </c>
    </row>
    <row r="45" spans="2:12" ht="19.8" x14ac:dyDescent="0.35">
      <c r="C45" s="12" t="s">
        <v>23</v>
      </c>
      <c r="D45" s="13"/>
      <c r="E45" s="14">
        <v>32343715823.98</v>
      </c>
      <c r="F45" s="18" t="s">
        <v>24</v>
      </c>
      <c r="G45" s="19"/>
    </row>
    <row r="46" spans="2:12" ht="19.8" x14ac:dyDescent="0.35">
      <c r="C46" s="20">
        <v>0.01</v>
      </c>
      <c r="D46" s="13"/>
      <c r="E46" s="14">
        <f>E45*C46</f>
        <v>323437158.23979998</v>
      </c>
      <c r="F46" s="18" t="s">
        <v>25</v>
      </c>
      <c r="G46" s="21"/>
    </row>
    <row r="47" spans="2:12" ht="18.600000000000001" x14ac:dyDescent="0.45">
      <c r="C47" s="2"/>
      <c r="D47" s="2"/>
      <c r="E47" s="2"/>
      <c r="F47" s="2"/>
      <c r="G47" s="2"/>
    </row>
    <row r="48" spans="2:12" ht="18.600000000000001" x14ac:dyDescent="0.45">
      <c r="C48" s="2"/>
      <c r="D48" s="2"/>
      <c r="E48" s="2"/>
      <c r="F48" s="2"/>
      <c r="G48" s="2"/>
    </row>
  </sheetData>
  <mergeCells count="22">
    <mergeCell ref="C36:E36"/>
    <mergeCell ref="F40:G40"/>
    <mergeCell ref="D19:E19"/>
    <mergeCell ref="D29:E29"/>
    <mergeCell ref="D26:E26"/>
    <mergeCell ref="D27:E27"/>
    <mergeCell ref="D28:E28"/>
    <mergeCell ref="D30:E30"/>
    <mergeCell ref="D32:E32"/>
    <mergeCell ref="D33:E33"/>
    <mergeCell ref="D24:E24"/>
    <mergeCell ref="D15:E15"/>
    <mergeCell ref="D16:E16"/>
    <mergeCell ref="D17:E17"/>
    <mergeCell ref="D18:E18"/>
    <mergeCell ref="D20:E20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DF22-D1D5-4458-A746-331A4CA239F9}">
  <sheetPr>
    <pageSetUpPr fitToPage="1"/>
  </sheetPr>
  <dimension ref="B3:L47"/>
  <sheetViews>
    <sheetView view="pageBreakPreview" topLeftCell="A7" zoomScale="85" zoomScaleNormal="85" zoomScaleSheetLayoutView="85" workbookViewId="0">
      <selection activeCell="F32" sqref="F32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4.5546875" style="1" customWidth="1"/>
    <col min="9" max="11" width="8.88671875" style="1"/>
    <col min="12" max="12" width="21.441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174</v>
      </c>
      <c r="F4" s="6" t="s">
        <v>2</v>
      </c>
      <c r="G4" s="24">
        <f>+E45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F35</f>
        <v>711485351.98999989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175</v>
      </c>
      <c r="F6" s="7" t="s">
        <v>5</v>
      </c>
      <c r="G6" s="25">
        <f>G4-G5</f>
        <v>-388048193.75019991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-1.1997637991318753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141</v>
      </c>
      <c r="D18" s="133" t="s">
        <v>142</v>
      </c>
      <c r="E18" s="128"/>
      <c r="F18" s="97">
        <f>+LK.11!F30+LK.12!F31</f>
        <v>26139065</v>
      </c>
      <c r="G18" s="52"/>
      <c r="H18" s="35"/>
    </row>
    <row r="19" spans="2:12" ht="20.399999999999999" x14ac:dyDescent="0.5">
      <c r="B19" s="34"/>
      <c r="C19" s="87" t="s">
        <v>155</v>
      </c>
      <c r="D19" s="133" t="s">
        <v>156</v>
      </c>
      <c r="E19" s="128"/>
      <c r="F19" s="97">
        <f>+LK.13!F30+LK.14!F31</f>
        <v>24398044.800000001</v>
      </c>
      <c r="G19" s="52"/>
      <c r="H19" s="35"/>
    </row>
    <row r="20" spans="2:12" ht="20.399999999999999" x14ac:dyDescent="0.5">
      <c r="B20" s="34"/>
      <c r="C20" s="87" t="s">
        <v>171</v>
      </c>
      <c r="D20" s="133" t="s">
        <v>172</v>
      </c>
      <c r="E20" s="128"/>
      <c r="F20" s="97">
        <f>+LK.15!F31+LK.16!F33</f>
        <v>53220790</v>
      </c>
      <c r="G20" s="47"/>
      <c r="H20" s="35"/>
      <c r="L20" s="104"/>
    </row>
    <row r="21" spans="2:12" ht="5.4" customHeight="1" thickBot="1" x14ac:dyDescent="0.55000000000000004">
      <c r="B21" s="34"/>
      <c r="C21" s="65"/>
      <c r="D21" s="88"/>
      <c r="E21" s="88"/>
      <c r="F21" s="89"/>
      <c r="G21" s="64"/>
      <c r="H21" s="35"/>
    </row>
    <row r="22" spans="2:12" ht="21.6" thickTop="1" thickBot="1" x14ac:dyDescent="0.55000000000000004">
      <c r="B22" s="34"/>
      <c r="C22" s="40"/>
      <c r="D22" s="29"/>
      <c r="E22" s="61" t="s">
        <v>14</v>
      </c>
      <c r="F22" s="62">
        <f>SUM(F12:F20)</f>
        <v>697433329.98999989</v>
      </c>
      <c r="G22" s="63">
        <f>G4-F22</f>
        <v>-373996171.75019991</v>
      </c>
      <c r="H22" s="35"/>
      <c r="L22" s="104">
        <f>672336915+11398217.99+F28</f>
        <v>697787154.99000001</v>
      </c>
    </row>
    <row r="23" spans="2:12" ht="5.4" customHeight="1" thickTop="1" x14ac:dyDescent="0.5">
      <c r="B23" s="34"/>
      <c r="C23" s="68"/>
      <c r="D23" s="38"/>
      <c r="E23" s="69"/>
      <c r="F23" s="70"/>
      <c r="G23" s="71"/>
      <c r="H23" s="35"/>
    </row>
    <row r="24" spans="2:12" ht="21" x14ac:dyDescent="0.5">
      <c r="B24" s="34"/>
      <c r="C24" s="84"/>
      <c r="D24" s="118" t="s">
        <v>28</v>
      </c>
      <c r="E24" s="119"/>
      <c r="F24" s="90">
        <v>0</v>
      </c>
      <c r="G24" s="75"/>
      <c r="H24" s="35"/>
    </row>
    <row r="25" spans="2:12" ht="6" customHeight="1" x14ac:dyDescent="0.5">
      <c r="B25" s="34"/>
      <c r="C25" s="84"/>
      <c r="D25" s="76"/>
      <c r="E25" s="77"/>
      <c r="F25" s="90"/>
      <c r="G25" s="75"/>
      <c r="H25" s="35"/>
    </row>
    <row r="26" spans="2:12" ht="20.399999999999999" x14ac:dyDescent="0.5">
      <c r="B26" s="34"/>
      <c r="C26" s="67" t="s">
        <v>12</v>
      </c>
      <c r="D26" s="120" t="s">
        <v>27</v>
      </c>
      <c r="E26" s="121"/>
      <c r="F26" s="79" t="s">
        <v>29</v>
      </c>
      <c r="G26" s="72" t="s">
        <v>30</v>
      </c>
      <c r="H26" s="35"/>
      <c r="L26" s="105">
        <f>264666902+35000000+50000000+35000000+50985790+60000000+22500000+17599900+9700717+10000000+10000000+15941803</f>
        <v>581395112</v>
      </c>
    </row>
    <row r="27" spans="2:12" ht="19.8" x14ac:dyDescent="0.45">
      <c r="B27" s="34"/>
      <c r="C27" s="103"/>
      <c r="D27" s="122" t="s">
        <v>177</v>
      </c>
      <c r="E27" s="123"/>
      <c r="F27" s="94">
        <v>0</v>
      </c>
      <c r="G27" s="95">
        <v>0</v>
      </c>
      <c r="H27" s="35"/>
      <c r="L27" s="105"/>
    </row>
    <row r="28" spans="2:12" ht="19.8" customHeight="1" x14ac:dyDescent="0.45">
      <c r="B28" s="34"/>
      <c r="C28" s="85">
        <v>44938</v>
      </c>
      <c r="D28" s="134" t="s">
        <v>173</v>
      </c>
      <c r="E28" s="135"/>
      <c r="F28" s="94">
        <v>14052022</v>
      </c>
      <c r="G28" s="95">
        <f>75000000-11398217.99-F28</f>
        <v>49549760.009999998</v>
      </c>
      <c r="H28" s="35"/>
      <c r="L28" s="105"/>
    </row>
    <row r="29" spans="2:12" ht="19.8" customHeight="1" x14ac:dyDescent="0.45">
      <c r="B29" s="34"/>
      <c r="C29" s="85"/>
      <c r="D29" s="134"/>
      <c r="E29" s="135"/>
      <c r="F29" s="94"/>
      <c r="G29" s="95"/>
      <c r="H29" s="35"/>
      <c r="L29" s="105">
        <f>15701252.4+8284383.19+8696792.4</f>
        <v>32682427.990000002</v>
      </c>
    </row>
    <row r="30" spans="2:12" ht="7.8" customHeight="1" x14ac:dyDescent="0.5">
      <c r="B30" s="34"/>
      <c r="C30" s="85"/>
      <c r="D30" s="66"/>
      <c r="E30" s="82"/>
      <c r="F30" s="92"/>
      <c r="G30" s="93"/>
      <c r="H30" s="35"/>
      <c r="L30" s="39"/>
    </row>
    <row r="31" spans="2:12" ht="19.2" customHeight="1" x14ac:dyDescent="0.5">
      <c r="B31" s="34"/>
      <c r="C31" s="67" t="s">
        <v>12</v>
      </c>
      <c r="D31" s="124" t="s">
        <v>32</v>
      </c>
      <c r="E31" s="121"/>
      <c r="F31" s="79"/>
      <c r="G31" s="73"/>
      <c r="H31" s="35"/>
      <c r="L31" s="39">
        <v>3240937.71</v>
      </c>
    </row>
    <row r="32" spans="2:12" ht="21" x14ac:dyDescent="0.5">
      <c r="B32" s="34"/>
      <c r="C32" s="85">
        <v>45068</v>
      </c>
      <c r="D32" s="130" t="s">
        <v>176</v>
      </c>
      <c r="E32" s="131"/>
      <c r="F32" s="80">
        <v>14052022</v>
      </c>
      <c r="G32" s="74"/>
      <c r="H32" s="35"/>
    </row>
    <row r="33" spans="2:12" ht="21" x14ac:dyDescent="0.5">
      <c r="B33" s="34"/>
      <c r="C33" s="86"/>
      <c r="D33" s="43"/>
      <c r="E33" s="83" t="s">
        <v>13</v>
      </c>
      <c r="F33" s="81">
        <f>F32-SUM(F27:F29)</f>
        <v>0</v>
      </c>
      <c r="G33" s="44"/>
      <c r="H33" s="35"/>
      <c r="L33" s="1">
        <v>8785214.7100000009</v>
      </c>
    </row>
    <row r="34" spans="2:12" ht="10.199999999999999" customHeight="1" thickBot="1" x14ac:dyDescent="0.5">
      <c r="B34" s="34"/>
      <c r="C34" s="30"/>
      <c r="D34" s="29"/>
      <c r="E34" s="29"/>
      <c r="F34" s="29"/>
      <c r="G34" s="28"/>
      <c r="H34" s="35"/>
    </row>
    <row r="35" spans="2:12" ht="21" thickTop="1" x14ac:dyDescent="0.5">
      <c r="B35" s="34"/>
      <c r="C35" s="112" t="s">
        <v>15</v>
      </c>
      <c r="D35" s="113"/>
      <c r="E35" s="113"/>
      <c r="F35" s="49">
        <f>F22+F32</f>
        <v>711485351.98999989</v>
      </c>
      <c r="G35" s="50">
        <f>G4-F35</f>
        <v>-388048193.75019991</v>
      </c>
      <c r="H35" s="35"/>
      <c r="L35" s="101">
        <v>26970387.809999999</v>
      </c>
    </row>
    <row r="36" spans="2:12" ht="20.399999999999999" x14ac:dyDescent="0.5">
      <c r="B36" s="34"/>
      <c r="C36" s="51" t="s">
        <v>16</v>
      </c>
      <c r="D36" s="45"/>
      <c r="E36" s="52"/>
      <c r="F36" s="53"/>
      <c r="G36" s="54"/>
      <c r="H36" s="35"/>
    </row>
    <row r="37" spans="2:12" ht="21" x14ac:dyDescent="0.5">
      <c r="B37" s="34"/>
      <c r="C37" s="55" t="s">
        <v>17</v>
      </c>
      <c r="D37" s="56" t="s">
        <v>1</v>
      </c>
      <c r="E37" s="41">
        <f>F33</f>
        <v>0</v>
      </c>
      <c r="F37" s="53"/>
      <c r="G37" s="54"/>
      <c r="H37" s="35"/>
      <c r="L37" s="1">
        <v>23189020.010000002</v>
      </c>
    </row>
    <row r="38" spans="2:12" ht="20.399999999999999" x14ac:dyDescent="0.5">
      <c r="B38" s="34"/>
      <c r="C38" s="55" t="s">
        <v>18</v>
      </c>
      <c r="D38" s="56" t="s">
        <v>1</v>
      </c>
      <c r="E38" s="57" t="s">
        <v>19</v>
      </c>
      <c r="F38" s="53"/>
      <c r="G38" s="54"/>
      <c r="H38" s="35"/>
      <c r="L38" s="108"/>
    </row>
    <row r="39" spans="2:12" ht="20.399999999999999" x14ac:dyDescent="0.5">
      <c r="B39" s="34"/>
      <c r="C39" s="58" t="s">
        <v>20</v>
      </c>
      <c r="D39" s="59" t="s">
        <v>1</v>
      </c>
      <c r="E39" s="60" t="s">
        <v>55</v>
      </c>
      <c r="F39" s="114" t="s">
        <v>26</v>
      </c>
      <c r="G39" s="115"/>
      <c r="H39" s="35"/>
      <c r="L39" s="109"/>
    </row>
    <row r="40" spans="2:12" ht="6" customHeight="1" x14ac:dyDescent="0.45">
      <c r="B40" s="36"/>
      <c r="C40" s="27"/>
      <c r="D40" s="27"/>
      <c r="E40" s="27"/>
      <c r="F40" s="27"/>
      <c r="G40" s="27"/>
      <c r="H40" s="37"/>
    </row>
    <row r="41" spans="2:12" ht="18.600000000000001" x14ac:dyDescent="0.45">
      <c r="C41" s="2"/>
      <c r="D41" s="2"/>
      <c r="E41" s="2"/>
      <c r="F41" s="2"/>
      <c r="G41" s="2"/>
    </row>
    <row r="42" spans="2:12" ht="19.8" x14ac:dyDescent="0.45">
      <c r="C42" s="12" t="s">
        <v>21</v>
      </c>
      <c r="D42" s="13"/>
      <c r="E42" s="14"/>
      <c r="F42" s="15"/>
      <c r="G42" s="2"/>
    </row>
    <row r="43" spans="2:12" ht="19.8" x14ac:dyDescent="0.35">
      <c r="C43" s="12"/>
      <c r="D43" s="13"/>
      <c r="E43" s="14"/>
      <c r="F43" s="16" t="s">
        <v>22</v>
      </c>
      <c r="G43" s="17">
        <v>15000000</v>
      </c>
    </row>
    <row r="44" spans="2:12" ht="19.8" x14ac:dyDescent="0.35">
      <c r="C44" s="12" t="s">
        <v>23</v>
      </c>
      <c r="D44" s="13"/>
      <c r="E44" s="14">
        <v>32343715823.98</v>
      </c>
      <c r="F44" s="18" t="s">
        <v>24</v>
      </c>
      <c r="G44" s="19"/>
    </row>
    <row r="45" spans="2:12" ht="19.8" x14ac:dyDescent="0.35">
      <c r="C45" s="20">
        <v>0.01</v>
      </c>
      <c r="D45" s="13"/>
      <c r="E45" s="14">
        <f>E44*C45</f>
        <v>323437158.23979998</v>
      </c>
      <c r="F45" s="18" t="s">
        <v>25</v>
      </c>
      <c r="G45" s="21"/>
    </row>
    <row r="46" spans="2:12" ht="18.600000000000001" x14ac:dyDescent="0.45">
      <c r="C46" s="2"/>
      <c r="D46" s="2"/>
      <c r="E46" s="2"/>
      <c r="F46" s="2"/>
      <c r="G46" s="2"/>
    </row>
    <row r="47" spans="2:12" ht="18.600000000000001" x14ac:dyDescent="0.45">
      <c r="C47" s="2"/>
      <c r="D47" s="2"/>
      <c r="E47" s="2"/>
      <c r="F47" s="2"/>
      <c r="G47" s="2"/>
    </row>
  </sheetData>
  <mergeCells count="21"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1:E31"/>
    <mergeCell ref="D32:E32"/>
    <mergeCell ref="C35:E35"/>
    <mergeCell ref="F39:G39"/>
    <mergeCell ref="D24:E24"/>
    <mergeCell ref="D26:E26"/>
    <mergeCell ref="D27:E27"/>
    <mergeCell ref="D28:E28"/>
    <mergeCell ref="D29:E2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DDB8-C139-4FF8-90A5-3B6EC24A7E80}">
  <sheetPr>
    <pageSetUpPr fitToPage="1"/>
  </sheetPr>
  <dimension ref="B3:L48"/>
  <sheetViews>
    <sheetView view="pageBreakPreview" topLeftCell="A15" zoomScale="85" zoomScaleNormal="85" zoomScaleSheetLayoutView="85" workbookViewId="0">
      <selection activeCell="F22" sqref="F22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4.5546875" style="1" customWidth="1"/>
    <col min="9" max="11" width="8.88671875" style="1"/>
    <col min="12" max="12" width="21.441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180</v>
      </c>
      <c r="F4" s="6" t="s">
        <v>2</v>
      </c>
      <c r="G4" s="24">
        <f>+E46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F36</f>
        <v>729334851.98999989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179</v>
      </c>
      <c r="F6" s="7" t="s">
        <v>5</v>
      </c>
      <c r="G6" s="25">
        <f>G4-G5</f>
        <v>-405897693.75019991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-1.2549507173485082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141</v>
      </c>
      <c r="D18" s="133" t="s">
        <v>142</v>
      </c>
      <c r="E18" s="128"/>
      <c r="F18" s="97">
        <f>+LK.11!F30+LK.12!F31</f>
        <v>26139065</v>
      </c>
      <c r="G18" s="52"/>
      <c r="H18" s="35"/>
    </row>
    <row r="19" spans="2:12" ht="20.399999999999999" x14ac:dyDescent="0.5">
      <c r="B19" s="34"/>
      <c r="C19" s="87" t="s">
        <v>155</v>
      </c>
      <c r="D19" s="133" t="s">
        <v>156</v>
      </c>
      <c r="E19" s="128"/>
      <c r="F19" s="97">
        <f>+LK.13!F30+LK.14!F31</f>
        <v>24398044.800000001</v>
      </c>
      <c r="G19" s="52"/>
      <c r="H19" s="35"/>
    </row>
    <row r="20" spans="2:12" ht="20.399999999999999" x14ac:dyDescent="0.5">
      <c r="B20" s="34"/>
      <c r="C20" s="87" t="s">
        <v>171</v>
      </c>
      <c r="D20" s="133" t="s">
        <v>172</v>
      </c>
      <c r="E20" s="128"/>
      <c r="F20" s="97">
        <f>+LK.15!F31+LK.16!F33</f>
        <v>53220790</v>
      </c>
      <c r="G20" s="52"/>
      <c r="H20" s="35"/>
    </row>
    <row r="21" spans="2:12" ht="20.399999999999999" x14ac:dyDescent="0.5">
      <c r="B21" s="34"/>
      <c r="C21" s="87" t="s">
        <v>183</v>
      </c>
      <c r="D21" s="133" t="s">
        <v>184</v>
      </c>
      <c r="E21" s="128"/>
      <c r="F21" s="97">
        <f>+LK.17!F32</f>
        <v>14052022</v>
      </c>
      <c r="G21" s="47"/>
      <c r="H21" s="35"/>
      <c r="L21" s="104"/>
    </row>
    <row r="22" spans="2:12" ht="5.4" customHeight="1" thickBot="1" x14ac:dyDescent="0.55000000000000004">
      <c r="B22" s="34"/>
      <c r="C22" s="65"/>
      <c r="D22" s="88"/>
      <c r="E22" s="88"/>
      <c r="F22" s="89"/>
      <c r="G22" s="64"/>
      <c r="H22" s="35"/>
    </row>
    <row r="23" spans="2:12" ht="21.6" thickTop="1" thickBot="1" x14ac:dyDescent="0.55000000000000004">
      <c r="B23" s="34"/>
      <c r="C23" s="40"/>
      <c r="D23" s="29"/>
      <c r="E23" s="61" t="s">
        <v>14</v>
      </c>
      <c r="F23" s="62">
        <f>SUM(F12:F21)</f>
        <v>711485351.98999989</v>
      </c>
      <c r="G23" s="63">
        <f>G4-F23</f>
        <v>-388048193.75019991</v>
      </c>
      <c r="H23" s="35"/>
      <c r="L23" s="104">
        <f>672336915+11398217.99+F29</f>
        <v>701584632.99000001</v>
      </c>
    </row>
    <row r="24" spans="2:12" ht="5.4" customHeight="1" thickTop="1" x14ac:dyDescent="0.5">
      <c r="B24" s="34"/>
      <c r="C24" s="68"/>
      <c r="D24" s="38"/>
      <c r="E24" s="69"/>
      <c r="F24" s="70"/>
      <c r="G24" s="71"/>
      <c r="H24" s="35"/>
    </row>
    <row r="25" spans="2:12" ht="21" x14ac:dyDescent="0.5">
      <c r="B25" s="34"/>
      <c r="C25" s="84"/>
      <c r="D25" s="118" t="s">
        <v>28</v>
      </c>
      <c r="E25" s="119"/>
      <c r="F25" s="90">
        <v>0</v>
      </c>
      <c r="G25" s="75"/>
      <c r="H25" s="35"/>
    </row>
    <row r="26" spans="2:12" ht="6" customHeight="1" x14ac:dyDescent="0.5">
      <c r="B26" s="34"/>
      <c r="C26" s="84"/>
      <c r="D26" s="76"/>
      <c r="E26" s="77"/>
      <c r="F26" s="90"/>
      <c r="G26" s="75"/>
      <c r="H26" s="35"/>
    </row>
    <row r="27" spans="2:12" ht="20.399999999999999" x14ac:dyDescent="0.5">
      <c r="B27" s="34"/>
      <c r="C27" s="67" t="s">
        <v>12</v>
      </c>
      <c r="D27" s="120" t="s">
        <v>27</v>
      </c>
      <c r="E27" s="121"/>
      <c r="F27" s="79" t="s">
        <v>29</v>
      </c>
      <c r="G27" s="72" t="s">
        <v>30</v>
      </c>
      <c r="H27" s="35"/>
      <c r="L27" s="105">
        <f>264666902+35000000+50000000+35000000+50985790+60000000+22500000+17599900+9700717+10000000+10000000+15941803</f>
        <v>581395112</v>
      </c>
    </row>
    <row r="28" spans="2:12" ht="19.8" x14ac:dyDescent="0.45">
      <c r="B28" s="34"/>
      <c r="C28" s="103"/>
      <c r="D28" s="122" t="s">
        <v>177</v>
      </c>
      <c r="E28" s="123"/>
      <c r="F28" s="94">
        <v>0</v>
      </c>
      <c r="G28" s="95">
        <v>0</v>
      </c>
      <c r="H28" s="35"/>
      <c r="L28" s="105"/>
    </row>
    <row r="29" spans="2:12" ht="19.8" customHeight="1" x14ac:dyDescent="0.45">
      <c r="B29" s="34"/>
      <c r="C29" s="85">
        <v>44938</v>
      </c>
      <c r="D29" s="134" t="s">
        <v>182</v>
      </c>
      <c r="E29" s="135"/>
      <c r="F29" s="94">
        <v>17849500</v>
      </c>
      <c r="G29" s="95">
        <f>75000000-25450239.99-F29</f>
        <v>31700260.010000005</v>
      </c>
      <c r="H29" s="35"/>
      <c r="L29" s="105"/>
    </row>
    <row r="30" spans="2:12" ht="19.8" customHeight="1" x14ac:dyDescent="0.45">
      <c r="B30" s="34"/>
      <c r="C30" s="85"/>
      <c r="D30" s="134"/>
      <c r="E30" s="135"/>
      <c r="F30" s="94"/>
      <c r="G30" s="95"/>
      <c r="H30" s="35"/>
      <c r="L30" s="105">
        <v>31700260.010000002</v>
      </c>
    </row>
    <row r="31" spans="2:12" ht="7.8" customHeight="1" x14ac:dyDescent="0.5">
      <c r="B31" s="34"/>
      <c r="C31" s="85"/>
      <c r="D31" s="66"/>
      <c r="E31" s="82"/>
      <c r="F31" s="92"/>
      <c r="G31" s="93"/>
      <c r="H31" s="35"/>
      <c r="L31" s="39"/>
    </row>
    <row r="32" spans="2:12" ht="19.2" customHeight="1" x14ac:dyDescent="0.5">
      <c r="B32" s="34"/>
      <c r="C32" s="67" t="s">
        <v>12</v>
      </c>
      <c r="D32" s="124" t="s">
        <v>32</v>
      </c>
      <c r="E32" s="121"/>
      <c r="F32" s="79"/>
      <c r="G32" s="73"/>
      <c r="H32" s="35"/>
      <c r="L32" s="39">
        <v>3240937.71</v>
      </c>
    </row>
    <row r="33" spans="2:12" ht="21" x14ac:dyDescent="0.5">
      <c r="B33" s="34"/>
      <c r="C33" s="85">
        <v>45100</v>
      </c>
      <c r="D33" s="130" t="s">
        <v>181</v>
      </c>
      <c r="E33" s="131"/>
      <c r="F33" s="80">
        <v>17849500</v>
      </c>
      <c r="G33" s="74"/>
      <c r="H33" s="35"/>
    </row>
    <row r="34" spans="2:12" ht="21" x14ac:dyDescent="0.5">
      <c r="B34" s="34"/>
      <c r="C34" s="86"/>
      <c r="D34" s="43"/>
      <c r="E34" s="83" t="s">
        <v>13</v>
      </c>
      <c r="F34" s="81">
        <f>F33-SUM(F28:F30)</f>
        <v>0</v>
      </c>
      <c r="G34" s="44"/>
      <c r="H34" s="35"/>
      <c r="L34" s="1">
        <v>8785214.7100000009</v>
      </c>
    </row>
    <row r="35" spans="2:12" ht="10.199999999999999" customHeight="1" thickBot="1" x14ac:dyDescent="0.5">
      <c r="B35" s="34"/>
      <c r="C35" s="30"/>
      <c r="D35" s="29"/>
      <c r="E35" s="29"/>
      <c r="F35" s="29"/>
      <c r="G35" s="28"/>
      <c r="H35" s="35"/>
    </row>
    <row r="36" spans="2:12" ht="21" thickTop="1" x14ac:dyDescent="0.5">
      <c r="B36" s="34"/>
      <c r="C36" s="112" t="s">
        <v>15</v>
      </c>
      <c r="D36" s="113"/>
      <c r="E36" s="113"/>
      <c r="F36" s="49">
        <f>F23+F33</f>
        <v>729334851.98999989</v>
      </c>
      <c r="G36" s="50">
        <f>G4-F36</f>
        <v>-405897693.75019991</v>
      </c>
      <c r="H36" s="35"/>
      <c r="L36" s="101">
        <v>26970387.809999999</v>
      </c>
    </row>
    <row r="37" spans="2:12" ht="20.399999999999999" x14ac:dyDescent="0.5">
      <c r="B37" s="34"/>
      <c r="C37" s="51" t="s">
        <v>16</v>
      </c>
      <c r="D37" s="45"/>
      <c r="E37" s="52"/>
      <c r="F37" s="53"/>
      <c r="G37" s="54"/>
      <c r="H37" s="35"/>
    </row>
    <row r="38" spans="2:12" ht="21" x14ac:dyDescent="0.5">
      <c r="B38" s="34"/>
      <c r="C38" s="55" t="s">
        <v>17</v>
      </c>
      <c r="D38" s="56" t="s">
        <v>1</v>
      </c>
      <c r="E38" s="41">
        <f>F34</f>
        <v>0</v>
      </c>
      <c r="F38" s="53"/>
      <c r="G38" s="54"/>
      <c r="H38" s="35"/>
      <c r="L38" s="1">
        <v>23189020.010000002</v>
      </c>
    </row>
    <row r="39" spans="2:12" ht="20.399999999999999" x14ac:dyDescent="0.5">
      <c r="B39" s="34"/>
      <c r="C39" s="55" t="s">
        <v>18</v>
      </c>
      <c r="D39" s="56" t="s">
        <v>1</v>
      </c>
      <c r="E39" s="57" t="s">
        <v>19</v>
      </c>
      <c r="F39" s="53"/>
      <c r="G39" s="54"/>
      <c r="H39" s="35"/>
      <c r="L39" s="108"/>
    </row>
    <row r="40" spans="2:12" ht="20.399999999999999" x14ac:dyDescent="0.5">
      <c r="B40" s="34"/>
      <c r="C40" s="58" t="s">
        <v>20</v>
      </c>
      <c r="D40" s="59" t="s">
        <v>1</v>
      </c>
      <c r="E40" s="60" t="s">
        <v>55</v>
      </c>
      <c r="F40" s="114" t="s">
        <v>26</v>
      </c>
      <c r="G40" s="115"/>
      <c r="H40" s="35"/>
      <c r="L40" s="109"/>
    </row>
    <row r="41" spans="2:12" ht="6" customHeight="1" x14ac:dyDescent="0.45">
      <c r="B41" s="36"/>
      <c r="C41" s="27"/>
      <c r="D41" s="27"/>
      <c r="E41" s="27"/>
      <c r="F41" s="27"/>
      <c r="G41" s="27"/>
      <c r="H41" s="37"/>
    </row>
    <row r="42" spans="2:12" ht="18.600000000000001" x14ac:dyDescent="0.45">
      <c r="C42" s="2"/>
      <c r="D42" s="2"/>
      <c r="E42" s="2"/>
      <c r="F42" s="2"/>
      <c r="G42" s="2"/>
    </row>
    <row r="43" spans="2:12" ht="19.8" x14ac:dyDescent="0.45">
      <c r="C43" s="12" t="s">
        <v>21</v>
      </c>
      <c r="D43" s="13"/>
      <c r="E43" s="14"/>
      <c r="F43" s="15"/>
      <c r="G43" s="2"/>
    </row>
    <row r="44" spans="2:12" ht="19.8" x14ac:dyDescent="0.35">
      <c r="C44" s="12"/>
      <c r="D44" s="13"/>
      <c r="E44" s="14"/>
      <c r="F44" s="16" t="s">
        <v>22</v>
      </c>
      <c r="G44" s="17">
        <v>15000000</v>
      </c>
    </row>
    <row r="45" spans="2:12" ht="19.8" x14ac:dyDescent="0.35">
      <c r="C45" s="12" t="s">
        <v>23</v>
      </c>
      <c r="D45" s="13"/>
      <c r="E45" s="14">
        <v>32343715823.98</v>
      </c>
      <c r="F45" s="18" t="s">
        <v>24</v>
      </c>
      <c r="G45" s="19"/>
    </row>
    <row r="46" spans="2:12" ht="19.8" x14ac:dyDescent="0.35">
      <c r="C46" s="20">
        <v>0.01</v>
      </c>
      <c r="D46" s="13"/>
      <c r="E46" s="14">
        <f>E45*C46</f>
        <v>323437158.23979998</v>
      </c>
      <c r="F46" s="18" t="s">
        <v>25</v>
      </c>
      <c r="G46" s="21"/>
    </row>
    <row r="47" spans="2:12" ht="18.600000000000001" x14ac:dyDescent="0.45">
      <c r="C47" s="2"/>
      <c r="D47" s="2"/>
      <c r="E47" s="2"/>
      <c r="F47" s="2"/>
      <c r="G47" s="2"/>
    </row>
    <row r="48" spans="2:12" ht="18.600000000000001" x14ac:dyDescent="0.45">
      <c r="C48" s="2"/>
      <c r="D48" s="2"/>
      <c r="E48" s="2"/>
      <c r="F48" s="2"/>
      <c r="G48" s="2"/>
    </row>
  </sheetData>
  <mergeCells count="22">
    <mergeCell ref="D14:E14"/>
    <mergeCell ref="C9:E9"/>
    <mergeCell ref="D10:E10"/>
    <mergeCell ref="D11:E11"/>
    <mergeCell ref="D12:E12"/>
    <mergeCell ref="D13:E13"/>
    <mergeCell ref="D15:E15"/>
    <mergeCell ref="D16:E16"/>
    <mergeCell ref="D17:E17"/>
    <mergeCell ref="D18:E18"/>
    <mergeCell ref="D19:E19"/>
    <mergeCell ref="D33:E33"/>
    <mergeCell ref="C36:E36"/>
    <mergeCell ref="F40:G40"/>
    <mergeCell ref="D20:E20"/>
    <mergeCell ref="D25:E25"/>
    <mergeCell ref="D27:E27"/>
    <mergeCell ref="D28:E28"/>
    <mergeCell ref="D29:E29"/>
    <mergeCell ref="D30:E30"/>
    <mergeCell ref="D32:E32"/>
    <mergeCell ref="D21:E21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511A-649F-426F-A14A-C6AAD49015FB}">
  <sheetPr>
    <pageSetUpPr fitToPage="1"/>
  </sheetPr>
  <dimension ref="B3:L48"/>
  <sheetViews>
    <sheetView view="pageBreakPreview" topLeftCell="A10" zoomScale="85" zoomScaleNormal="85" zoomScaleSheetLayoutView="85" workbookViewId="0">
      <selection activeCell="K27" sqref="K2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4.5546875" style="1" customWidth="1"/>
    <col min="9" max="11" width="8.88671875" style="1"/>
    <col min="12" max="12" width="21.441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185</v>
      </c>
      <c r="F4" s="6" t="s">
        <v>2</v>
      </c>
      <c r="G4" s="24">
        <f>+E46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F36</f>
        <v>732275451.98999989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186</v>
      </c>
      <c r="F6" s="7" t="s">
        <v>5</v>
      </c>
      <c r="G6" s="25">
        <f>G4-G5</f>
        <v>-408838293.75019991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-1.2640424371002004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141</v>
      </c>
      <c r="D18" s="133" t="s">
        <v>142</v>
      </c>
      <c r="E18" s="128"/>
      <c r="F18" s="97">
        <f>+LK.11!F30+LK.12!F31</f>
        <v>26139065</v>
      </c>
      <c r="G18" s="52"/>
      <c r="H18" s="35"/>
    </row>
    <row r="19" spans="2:12" ht="20.399999999999999" x14ac:dyDescent="0.5">
      <c r="B19" s="34"/>
      <c r="C19" s="87" t="s">
        <v>155</v>
      </c>
      <c r="D19" s="133" t="s">
        <v>156</v>
      </c>
      <c r="E19" s="128"/>
      <c r="F19" s="97">
        <f>+LK.13!F30+LK.14!F31</f>
        <v>24398044.800000001</v>
      </c>
      <c r="G19" s="52"/>
      <c r="H19" s="35"/>
    </row>
    <row r="20" spans="2:12" ht="20.399999999999999" x14ac:dyDescent="0.5">
      <c r="B20" s="34"/>
      <c r="C20" s="87" t="s">
        <v>171</v>
      </c>
      <c r="D20" s="133" t="s">
        <v>172</v>
      </c>
      <c r="E20" s="128"/>
      <c r="F20" s="97">
        <f>+LK.15!F31+LK.16!F33</f>
        <v>53220790</v>
      </c>
      <c r="G20" s="52"/>
      <c r="H20" s="35"/>
      <c r="L20" s="1">
        <v>28759660.010000002</v>
      </c>
    </row>
    <row r="21" spans="2:12" ht="20.399999999999999" x14ac:dyDescent="0.5">
      <c r="B21" s="34"/>
      <c r="C21" s="87" t="s">
        <v>187</v>
      </c>
      <c r="D21" s="133" t="s">
        <v>188</v>
      </c>
      <c r="E21" s="128"/>
      <c r="F21" s="97">
        <f>+LK.17!F32+LK.18!F33</f>
        <v>31901522</v>
      </c>
      <c r="G21" s="47"/>
      <c r="H21" s="35"/>
      <c r="L21" s="104">
        <f>17849500+25450239.99+2940600+28759660.01</f>
        <v>75000000</v>
      </c>
    </row>
    <row r="22" spans="2:12" ht="5.4" customHeight="1" thickBot="1" x14ac:dyDescent="0.55000000000000004">
      <c r="B22" s="34"/>
      <c r="C22" s="65"/>
      <c r="D22" s="88"/>
      <c r="E22" s="88"/>
      <c r="F22" s="89"/>
      <c r="G22" s="64"/>
      <c r="H22" s="35"/>
    </row>
    <row r="23" spans="2:12" ht="21.6" thickTop="1" thickBot="1" x14ac:dyDescent="0.55000000000000004">
      <c r="B23" s="34"/>
      <c r="C23" s="40"/>
      <c r="D23" s="29"/>
      <c r="E23" s="61" t="s">
        <v>14</v>
      </c>
      <c r="F23" s="62">
        <f>SUM(F12:F21)</f>
        <v>729334851.98999989</v>
      </c>
      <c r="G23" s="63">
        <f>G4-F23</f>
        <v>-405897693.75019991</v>
      </c>
      <c r="H23" s="35"/>
      <c r="L23" s="104">
        <f>672336915+11398217.99+F29</f>
        <v>686675732.99000001</v>
      </c>
    </row>
    <row r="24" spans="2:12" ht="5.4" customHeight="1" thickTop="1" x14ac:dyDescent="0.5">
      <c r="B24" s="34"/>
      <c r="C24" s="68"/>
      <c r="D24" s="38"/>
      <c r="E24" s="69"/>
      <c r="F24" s="70"/>
      <c r="G24" s="71"/>
      <c r="H24" s="35"/>
    </row>
    <row r="25" spans="2:12" ht="21" x14ac:dyDescent="0.5">
      <c r="B25" s="34"/>
      <c r="C25" s="84"/>
      <c r="D25" s="118" t="s">
        <v>28</v>
      </c>
      <c r="E25" s="119"/>
      <c r="F25" s="90">
        <v>0</v>
      </c>
      <c r="G25" s="75"/>
      <c r="H25" s="35"/>
    </row>
    <row r="26" spans="2:12" ht="6" customHeight="1" x14ac:dyDescent="0.5">
      <c r="B26" s="34"/>
      <c r="C26" s="84"/>
      <c r="D26" s="76"/>
      <c r="E26" s="77"/>
      <c r="F26" s="90"/>
      <c r="G26" s="75"/>
      <c r="H26" s="35"/>
    </row>
    <row r="27" spans="2:12" ht="20.399999999999999" x14ac:dyDescent="0.5">
      <c r="B27" s="34"/>
      <c r="C27" s="67" t="s">
        <v>12</v>
      </c>
      <c r="D27" s="120" t="s">
        <v>27</v>
      </c>
      <c r="E27" s="121"/>
      <c r="F27" s="79" t="s">
        <v>29</v>
      </c>
      <c r="G27" s="72" t="s">
        <v>30</v>
      </c>
      <c r="H27" s="35"/>
      <c r="L27" s="105">
        <f>264666902+35000000+50000000+35000000+50985790+60000000+22500000+17599900+9700717+10000000+10000000+15941803</f>
        <v>581395112</v>
      </c>
    </row>
    <row r="28" spans="2:12" ht="19.8" x14ac:dyDescent="0.45">
      <c r="B28" s="34"/>
      <c r="C28" s="103"/>
      <c r="D28" s="122" t="s">
        <v>177</v>
      </c>
      <c r="E28" s="123"/>
      <c r="F28" s="94">
        <v>0</v>
      </c>
      <c r="G28" s="95">
        <v>0</v>
      </c>
      <c r="H28" s="35"/>
      <c r="L28" s="105"/>
    </row>
    <row r="29" spans="2:12" ht="19.8" customHeight="1" x14ac:dyDescent="0.45">
      <c r="B29" s="34"/>
      <c r="C29" s="85">
        <v>44938</v>
      </c>
      <c r="D29" s="134" t="s">
        <v>189</v>
      </c>
      <c r="E29" s="135"/>
      <c r="F29" s="94">
        <v>2940600</v>
      </c>
      <c r="G29" s="95">
        <f>75000000-25450239.99-17849500-F29</f>
        <v>28759660.010000005</v>
      </c>
      <c r="H29" s="35"/>
      <c r="L29" s="105"/>
    </row>
    <row r="30" spans="2:12" ht="19.8" customHeight="1" x14ac:dyDescent="0.45">
      <c r="B30" s="34"/>
      <c r="C30" s="85"/>
      <c r="D30" s="134"/>
      <c r="E30" s="135"/>
      <c r="F30" s="94"/>
      <c r="G30" s="95"/>
      <c r="H30" s="35"/>
      <c r="L30" s="105">
        <v>31700260.010000002</v>
      </c>
    </row>
    <row r="31" spans="2:12" ht="7.8" customHeight="1" x14ac:dyDescent="0.5">
      <c r="B31" s="34"/>
      <c r="C31" s="85"/>
      <c r="D31" s="66"/>
      <c r="E31" s="82"/>
      <c r="F31" s="92"/>
      <c r="G31" s="93"/>
      <c r="H31" s="35"/>
      <c r="L31" s="39"/>
    </row>
    <row r="32" spans="2:12" ht="19.2" customHeight="1" x14ac:dyDescent="0.5">
      <c r="B32" s="34"/>
      <c r="C32" s="67" t="s">
        <v>12</v>
      </c>
      <c r="D32" s="124" t="s">
        <v>32</v>
      </c>
      <c r="E32" s="121"/>
      <c r="F32" s="79"/>
      <c r="G32" s="73"/>
      <c r="H32" s="35"/>
      <c r="L32" s="39">
        <v>3240937.71</v>
      </c>
    </row>
    <row r="33" spans="2:12" ht="21" x14ac:dyDescent="0.5">
      <c r="B33" s="34"/>
      <c r="C33" s="85">
        <v>45125</v>
      </c>
      <c r="D33" s="130" t="s">
        <v>190</v>
      </c>
      <c r="E33" s="131"/>
      <c r="F33" s="80">
        <v>2940600</v>
      </c>
      <c r="G33" s="74"/>
      <c r="H33" s="35"/>
    </row>
    <row r="34" spans="2:12" ht="21" x14ac:dyDescent="0.5">
      <c r="B34" s="34"/>
      <c r="C34" s="86"/>
      <c r="D34" s="43"/>
      <c r="E34" s="83" t="s">
        <v>13</v>
      </c>
      <c r="F34" s="81">
        <f>F33-SUM(F28:F30)</f>
        <v>0</v>
      </c>
      <c r="G34" s="44"/>
      <c r="H34" s="35"/>
      <c r="L34" s="1">
        <v>8785214.7100000009</v>
      </c>
    </row>
    <row r="35" spans="2:12" ht="10.199999999999999" customHeight="1" thickBot="1" x14ac:dyDescent="0.5">
      <c r="B35" s="34"/>
      <c r="C35" s="30"/>
      <c r="D35" s="29"/>
      <c r="E35" s="29"/>
      <c r="F35" s="29"/>
      <c r="G35" s="28"/>
      <c r="H35" s="35"/>
    </row>
    <row r="36" spans="2:12" ht="21" thickTop="1" x14ac:dyDescent="0.5">
      <c r="B36" s="34"/>
      <c r="C36" s="112" t="s">
        <v>15</v>
      </c>
      <c r="D36" s="113"/>
      <c r="E36" s="113"/>
      <c r="F36" s="49">
        <f>F23+F33</f>
        <v>732275451.98999989</v>
      </c>
      <c r="G36" s="50">
        <f>G4-F36</f>
        <v>-408838293.75019991</v>
      </c>
      <c r="H36" s="35"/>
      <c r="L36" s="101">
        <v>26970387.809999999</v>
      </c>
    </row>
    <row r="37" spans="2:12" ht="20.399999999999999" x14ac:dyDescent="0.5">
      <c r="B37" s="34"/>
      <c r="C37" s="51" t="s">
        <v>16</v>
      </c>
      <c r="D37" s="45"/>
      <c r="E37" s="52"/>
      <c r="F37" s="53"/>
      <c r="G37" s="54"/>
      <c r="H37" s="35"/>
    </row>
    <row r="38" spans="2:12" ht="21" x14ac:dyDescent="0.5">
      <c r="B38" s="34"/>
      <c r="C38" s="55" t="s">
        <v>17</v>
      </c>
      <c r="D38" s="56" t="s">
        <v>1</v>
      </c>
      <c r="E38" s="41">
        <f>F34</f>
        <v>0</v>
      </c>
      <c r="F38" s="53"/>
      <c r="G38" s="54"/>
      <c r="H38" s="35"/>
      <c r="L38" s="1">
        <v>23189020.010000002</v>
      </c>
    </row>
    <row r="39" spans="2:12" ht="20.399999999999999" x14ac:dyDescent="0.5">
      <c r="B39" s="34"/>
      <c r="C39" s="55" t="s">
        <v>18</v>
      </c>
      <c r="D39" s="56" t="s">
        <v>1</v>
      </c>
      <c r="E39" s="57" t="s">
        <v>19</v>
      </c>
      <c r="F39" s="53"/>
      <c r="G39" s="54"/>
      <c r="H39" s="35"/>
      <c r="L39" s="108"/>
    </row>
    <row r="40" spans="2:12" ht="20.399999999999999" x14ac:dyDescent="0.5">
      <c r="B40" s="34"/>
      <c r="C40" s="58" t="s">
        <v>20</v>
      </c>
      <c r="D40" s="59" t="s">
        <v>1</v>
      </c>
      <c r="E40" s="60" t="s">
        <v>55</v>
      </c>
      <c r="F40" s="114" t="s">
        <v>26</v>
      </c>
      <c r="G40" s="115"/>
      <c r="H40" s="35"/>
      <c r="L40" s="109"/>
    </row>
    <row r="41" spans="2:12" ht="6" customHeight="1" x14ac:dyDescent="0.45">
      <c r="B41" s="36"/>
      <c r="C41" s="27"/>
      <c r="D41" s="27"/>
      <c r="E41" s="27"/>
      <c r="F41" s="27"/>
      <c r="G41" s="27"/>
      <c r="H41" s="37"/>
    </row>
    <row r="42" spans="2:12" ht="18.600000000000001" x14ac:dyDescent="0.45">
      <c r="C42" s="2"/>
      <c r="D42" s="2"/>
      <c r="E42" s="2"/>
      <c r="F42" s="2"/>
      <c r="G42" s="2"/>
    </row>
    <row r="43" spans="2:12" ht="19.8" x14ac:dyDescent="0.45">
      <c r="C43" s="12" t="s">
        <v>21</v>
      </c>
      <c r="D43" s="13"/>
      <c r="E43" s="14"/>
      <c r="F43" s="15"/>
      <c r="G43" s="2"/>
    </row>
    <row r="44" spans="2:12" ht="19.8" x14ac:dyDescent="0.35">
      <c r="C44" s="12"/>
      <c r="D44" s="13"/>
      <c r="E44" s="14"/>
      <c r="F44" s="16" t="s">
        <v>22</v>
      </c>
      <c r="G44" s="17">
        <v>15000000</v>
      </c>
    </row>
    <row r="45" spans="2:12" ht="19.8" x14ac:dyDescent="0.35">
      <c r="C45" s="12" t="s">
        <v>23</v>
      </c>
      <c r="D45" s="13"/>
      <c r="E45" s="14">
        <v>32343715823.98</v>
      </c>
      <c r="F45" s="18" t="s">
        <v>24</v>
      </c>
      <c r="G45" s="19"/>
    </row>
    <row r="46" spans="2:12" ht="19.8" x14ac:dyDescent="0.35">
      <c r="C46" s="20">
        <v>0.01</v>
      </c>
      <c r="D46" s="13"/>
      <c r="E46" s="14">
        <f>E45*C46</f>
        <v>323437158.23979998</v>
      </c>
      <c r="F46" s="18" t="s">
        <v>25</v>
      </c>
      <c r="G46" s="21"/>
    </row>
    <row r="47" spans="2:12" ht="18.600000000000001" x14ac:dyDescent="0.45">
      <c r="C47" s="2"/>
      <c r="D47" s="2"/>
      <c r="E47" s="2"/>
      <c r="F47" s="2"/>
      <c r="G47" s="2"/>
    </row>
    <row r="48" spans="2:12" ht="18.600000000000001" x14ac:dyDescent="0.45">
      <c r="C48" s="2"/>
      <c r="D48" s="2"/>
      <c r="E48" s="2"/>
      <c r="F48" s="2"/>
      <c r="G48" s="2"/>
    </row>
  </sheetData>
  <mergeCells count="22">
    <mergeCell ref="D32:E32"/>
    <mergeCell ref="D33:E33"/>
    <mergeCell ref="C36:E36"/>
    <mergeCell ref="F40:G40"/>
    <mergeCell ref="D21:E21"/>
    <mergeCell ref="D25:E25"/>
    <mergeCell ref="D27:E27"/>
    <mergeCell ref="D28:E28"/>
    <mergeCell ref="D29:E29"/>
    <mergeCell ref="D30:E30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3710-B5FC-4566-B1C0-EEFD87367FCE}">
  <sheetPr>
    <pageSetUpPr fitToPage="1"/>
  </sheetPr>
  <dimension ref="B3:L44"/>
  <sheetViews>
    <sheetView view="pageBreakPreview" topLeftCell="A5" zoomScale="85" zoomScaleNormal="85" zoomScaleSheetLayoutView="85" workbookViewId="0">
      <selection activeCell="F29" sqref="F2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37</v>
      </c>
      <c r="F4" s="6" t="s">
        <v>2</v>
      </c>
      <c r="G4" s="24">
        <f>+E42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F32</f>
        <v>184609665.38999999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38</v>
      </c>
      <c r="F6" s="7" t="s">
        <v>5</v>
      </c>
      <c r="G6" s="25">
        <f>G4-G5</f>
        <v>138827492.84979999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0.42922555220718245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/>
      <c r="D13" s="133"/>
      <c r="E13" s="128"/>
      <c r="F13" s="97"/>
      <c r="G13" s="47"/>
      <c r="H13" s="35"/>
    </row>
    <row r="14" spans="2:8" ht="5.4" customHeight="1" thickBot="1" x14ac:dyDescent="0.55000000000000004">
      <c r="B14" s="34"/>
      <c r="C14" s="65"/>
      <c r="D14" s="88"/>
      <c r="E14" s="88"/>
      <c r="F14" s="89"/>
      <c r="G14" s="64"/>
      <c r="H14" s="35"/>
    </row>
    <row r="15" spans="2:8" ht="21.6" thickTop="1" thickBot="1" x14ac:dyDescent="0.55000000000000004">
      <c r="B15" s="34"/>
      <c r="C15" s="40"/>
      <c r="D15" s="29"/>
      <c r="E15" s="61" t="s">
        <v>14</v>
      </c>
      <c r="F15" s="62">
        <f>SUM(F12:F13)</f>
        <v>12191281</v>
      </c>
      <c r="G15" s="63">
        <f>G4-F15</f>
        <v>311245877.23979998</v>
      </c>
      <c r="H15" s="35"/>
    </row>
    <row r="16" spans="2:8" ht="5.4" customHeight="1" thickTop="1" x14ac:dyDescent="0.5">
      <c r="B16" s="34"/>
      <c r="C16" s="68"/>
      <c r="D16" s="38"/>
      <c r="E16" s="69"/>
      <c r="F16" s="70"/>
      <c r="G16" s="71"/>
      <c r="H16" s="35"/>
    </row>
    <row r="17" spans="2:12" ht="21" x14ac:dyDescent="0.5">
      <c r="B17" s="34"/>
      <c r="C17" s="84"/>
      <c r="D17" s="118" t="s">
        <v>28</v>
      </c>
      <c r="E17" s="119"/>
      <c r="F17" s="90">
        <v>0</v>
      </c>
      <c r="G17" s="75"/>
      <c r="H17" s="35"/>
    </row>
    <row r="18" spans="2:12" ht="6" customHeight="1" x14ac:dyDescent="0.5">
      <c r="B18" s="34"/>
      <c r="C18" s="84"/>
      <c r="D18" s="76"/>
      <c r="E18" s="77"/>
      <c r="F18" s="90"/>
      <c r="G18" s="75"/>
      <c r="H18" s="35"/>
    </row>
    <row r="19" spans="2:12" ht="20.399999999999999" x14ac:dyDescent="0.5">
      <c r="B19" s="34"/>
      <c r="C19" s="67" t="s">
        <v>12</v>
      </c>
      <c r="D19" s="120" t="s">
        <v>27</v>
      </c>
      <c r="E19" s="121"/>
      <c r="F19" s="79" t="s">
        <v>29</v>
      </c>
      <c r="G19" s="72" t="s">
        <v>30</v>
      </c>
      <c r="H19" s="35"/>
    </row>
    <row r="20" spans="2:12" ht="19.8" x14ac:dyDescent="0.45">
      <c r="B20" s="34"/>
      <c r="C20" s="103"/>
      <c r="D20" s="122" t="s">
        <v>44</v>
      </c>
      <c r="E20" s="123"/>
      <c r="F20" s="94">
        <v>0</v>
      </c>
      <c r="G20" s="95">
        <v>0</v>
      </c>
      <c r="H20" s="35"/>
    </row>
    <row r="21" spans="2:12" ht="19.8" x14ac:dyDescent="0.45">
      <c r="B21" s="34"/>
      <c r="C21" s="85">
        <v>44813</v>
      </c>
      <c r="D21" s="116" t="s">
        <v>46</v>
      </c>
      <c r="E21" s="117"/>
      <c r="F21" s="96">
        <v>25808719</v>
      </c>
      <c r="G21" s="95">
        <v>0</v>
      </c>
      <c r="H21" s="35"/>
    </row>
    <row r="22" spans="2:12" ht="19.8" x14ac:dyDescent="0.45">
      <c r="B22" s="34"/>
      <c r="C22" s="85" t="s">
        <v>49</v>
      </c>
      <c r="D22" s="116" t="s">
        <v>48</v>
      </c>
      <c r="E22" s="117"/>
      <c r="F22" s="96">
        <v>12596100</v>
      </c>
      <c r="G22" s="95">
        <v>0</v>
      </c>
      <c r="H22" s="35"/>
    </row>
    <row r="23" spans="2:12" ht="19.8" x14ac:dyDescent="0.45">
      <c r="B23" s="34"/>
      <c r="C23" s="85">
        <v>44806</v>
      </c>
      <c r="D23" s="116" t="s">
        <v>47</v>
      </c>
      <c r="E23" s="117"/>
      <c r="F23" s="96">
        <v>5000000</v>
      </c>
      <c r="G23" s="95">
        <v>0</v>
      </c>
      <c r="H23" s="35"/>
    </row>
    <row r="24" spans="2:12" ht="19.8" x14ac:dyDescent="0.45">
      <c r="B24" s="34"/>
      <c r="C24" s="85" t="s">
        <v>50</v>
      </c>
      <c r="D24" s="116" t="s">
        <v>51</v>
      </c>
      <c r="E24" s="117"/>
      <c r="F24" s="96">
        <v>80000000</v>
      </c>
      <c r="G24" s="95">
        <v>0</v>
      </c>
      <c r="H24" s="35"/>
    </row>
    <row r="25" spans="2:12" ht="19.8" x14ac:dyDescent="0.45">
      <c r="B25" s="34"/>
      <c r="C25" s="85" t="s">
        <v>52</v>
      </c>
      <c r="D25" s="132" t="s">
        <v>53</v>
      </c>
      <c r="E25" s="117"/>
      <c r="F25" s="96">
        <v>36318102</v>
      </c>
      <c r="G25" s="95">
        <v>0</v>
      </c>
      <c r="H25" s="35"/>
    </row>
    <row r="26" spans="2:12" ht="19.8" customHeight="1" x14ac:dyDescent="0.45">
      <c r="B26" s="34"/>
      <c r="C26" s="85">
        <v>44852</v>
      </c>
      <c r="D26" s="132" t="s">
        <v>54</v>
      </c>
      <c r="E26" s="117"/>
      <c r="F26" s="96">
        <v>12695463.390000001</v>
      </c>
      <c r="G26" s="95">
        <f>27392700-F26</f>
        <v>14697236.609999999</v>
      </c>
      <c r="H26" s="35"/>
      <c r="L26" s="1">
        <f>17000000-13581171.75</f>
        <v>3418828.25</v>
      </c>
    </row>
    <row r="27" spans="2:12" ht="7.8" customHeight="1" x14ac:dyDescent="0.5">
      <c r="B27" s="34"/>
      <c r="C27" s="85"/>
      <c r="D27" s="66"/>
      <c r="E27" s="82"/>
      <c r="F27" s="92"/>
      <c r="G27" s="93"/>
      <c r="H27" s="35"/>
      <c r="L27" s="39"/>
    </row>
    <row r="28" spans="2:12" ht="19.2" customHeight="1" x14ac:dyDescent="0.5">
      <c r="B28" s="34"/>
      <c r="C28" s="67" t="s">
        <v>12</v>
      </c>
      <c r="D28" s="124" t="s">
        <v>32</v>
      </c>
      <c r="E28" s="121"/>
      <c r="F28" s="79"/>
      <c r="G28" s="73"/>
      <c r="H28" s="35"/>
      <c r="L28" s="39"/>
    </row>
    <row r="29" spans="2:12" ht="21" x14ac:dyDescent="0.5">
      <c r="B29" s="34"/>
      <c r="C29" s="85">
        <v>44909</v>
      </c>
      <c r="D29" s="130" t="s">
        <v>45</v>
      </c>
      <c r="E29" s="131"/>
      <c r="F29" s="80">
        <v>172418384.38999999</v>
      </c>
      <c r="G29" s="74"/>
      <c r="H29" s="35"/>
      <c r="L29" s="1">
        <f>114500000+14000000</f>
        <v>128500000</v>
      </c>
    </row>
    <row r="30" spans="2:12" ht="21" x14ac:dyDescent="0.5">
      <c r="B30" s="34"/>
      <c r="C30" s="86"/>
      <c r="D30" s="43"/>
      <c r="E30" s="83" t="s">
        <v>13</v>
      </c>
      <c r="F30" s="81">
        <f>F29-SUM(F20:F26)</f>
        <v>0</v>
      </c>
      <c r="G30" s="44"/>
      <c r="H30" s="35"/>
    </row>
    <row r="31" spans="2:12" ht="10.199999999999999" customHeight="1" thickBot="1" x14ac:dyDescent="0.5">
      <c r="B31" s="34"/>
      <c r="C31" s="30"/>
      <c r="D31" s="29"/>
      <c r="E31" s="29"/>
      <c r="F31" s="29"/>
      <c r="G31" s="28"/>
      <c r="H31" s="35"/>
    </row>
    <row r="32" spans="2:12" ht="21" thickTop="1" x14ac:dyDescent="0.5">
      <c r="B32" s="34"/>
      <c r="C32" s="112" t="s">
        <v>15</v>
      </c>
      <c r="D32" s="113"/>
      <c r="E32" s="113"/>
      <c r="F32" s="49">
        <f>F15+F29</f>
        <v>184609665.38999999</v>
      </c>
      <c r="G32" s="50">
        <f>G4-F32</f>
        <v>138827492.84979999</v>
      </c>
      <c r="H32" s="35"/>
      <c r="L32" s="101">
        <f>6541000+6150071.75</f>
        <v>12691071.75</v>
      </c>
    </row>
    <row r="33" spans="2:8" ht="20.399999999999999" x14ac:dyDescent="0.5">
      <c r="B33" s="34"/>
      <c r="C33" s="51" t="s">
        <v>16</v>
      </c>
      <c r="D33" s="45"/>
      <c r="E33" s="52"/>
      <c r="F33" s="53"/>
      <c r="G33" s="54"/>
      <c r="H33" s="35"/>
    </row>
    <row r="34" spans="2:8" ht="21" x14ac:dyDescent="0.5">
      <c r="B34" s="34"/>
      <c r="C34" s="55" t="s">
        <v>17</v>
      </c>
      <c r="D34" s="56" t="s">
        <v>1</v>
      </c>
      <c r="E34" s="41">
        <f>F30</f>
        <v>0</v>
      </c>
      <c r="F34" s="53"/>
      <c r="G34" s="54"/>
      <c r="H34" s="35"/>
    </row>
    <row r="35" spans="2:8" ht="20.399999999999999" x14ac:dyDescent="0.5">
      <c r="B35" s="34"/>
      <c r="C35" s="55" t="s">
        <v>18</v>
      </c>
      <c r="D35" s="56" t="s">
        <v>1</v>
      </c>
      <c r="E35" s="57" t="s">
        <v>19</v>
      </c>
      <c r="F35" s="53"/>
      <c r="G35" s="54"/>
      <c r="H35" s="35"/>
    </row>
    <row r="36" spans="2:8" ht="20.399999999999999" x14ac:dyDescent="0.5">
      <c r="B36" s="34"/>
      <c r="C36" s="58" t="s">
        <v>20</v>
      </c>
      <c r="D36" s="59" t="s">
        <v>1</v>
      </c>
      <c r="E36" s="60" t="s">
        <v>55</v>
      </c>
      <c r="F36" s="114" t="s">
        <v>26</v>
      </c>
      <c r="G36" s="115"/>
      <c r="H36" s="35"/>
    </row>
    <row r="37" spans="2:8" ht="6" customHeight="1" x14ac:dyDescent="0.45">
      <c r="B37" s="36"/>
      <c r="C37" s="27"/>
      <c r="D37" s="27"/>
      <c r="E37" s="27"/>
      <c r="F37" s="27"/>
      <c r="G37" s="27"/>
      <c r="H37" s="37"/>
    </row>
    <row r="38" spans="2:8" ht="18.600000000000001" x14ac:dyDescent="0.45">
      <c r="C38" s="2"/>
      <c r="D38" s="2"/>
      <c r="E38" s="2"/>
      <c r="F38" s="2"/>
      <c r="G38" s="2"/>
    </row>
    <row r="39" spans="2:8" ht="19.8" x14ac:dyDescent="0.45">
      <c r="C39" s="12" t="s">
        <v>21</v>
      </c>
      <c r="D39" s="13"/>
      <c r="E39" s="14"/>
      <c r="F39" s="15"/>
      <c r="G39" s="2"/>
    </row>
    <row r="40" spans="2:8" ht="19.8" x14ac:dyDescent="0.35">
      <c r="C40" s="12"/>
      <c r="D40" s="13"/>
      <c r="E40" s="14"/>
      <c r="F40" s="16" t="s">
        <v>22</v>
      </c>
      <c r="G40" s="17">
        <v>15000000</v>
      </c>
    </row>
    <row r="41" spans="2:8" ht="19.8" x14ac:dyDescent="0.35">
      <c r="C41" s="12" t="s">
        <v>23</v>
      </c>
      <c r="D41" s="13"/>
      <c r="E41" s="14">
        <v>32343715823.98</v>
      </c>
      <c r="F41" s="18" t="s">
        <v>24</v>
      </c>
      <c r="G41" s="19"/>
    </row>
    <row r="42" spans="2:8" ht="19.8" x14ac:dyDescent="0.35">
      <c r="C42" s="20">
        <v>0.01</v>
      </c>
      <c r="D42" s="13"/>
      <c r="E42" s="14">
        <f>E41*C42</f>
        <v>323437158.23979998</v>
      </c>
      <c r="F42" s="18" t="s">
        <v>25</v>
      </c>
      <c r="G42" s="21"/>
    </row>
    <row r="43" spans="2:8" ht="18.600000000000001" x14ac:dyDescent="0.45">
      <c r="C43" s="2"/>
      <c r="D43" s="2"/>
      <c r="E43" s="2"/>
      <c r="F43" s="2"/>
      <c r="G43" s="2"/>
    </row>
    <row r="44" spans="2:8" ht="18.600000000000001" x14ac:dyDescent="0.45">
      <c r="C44" s="2"/>
      <c r="D44" s="2"/>
      <c r="E44" s="2"/>
      <c r="F44" s="2"/>
      <c r="G44" s="2"/>
    </row>
  </sheetData>
  <mergeCells count="18">
    <mergeCell ref="C9:E9"/>
    <mergeCell ref="D10:E10"/>
    <mergeCell ref="D11:E11"/>
    <mergeCell ref="D12:E12"/>
    <mergeCell ref="D21:E21"/>
    <mergeCell ref="D23:E23"/>
    <mergeCell ref="D24:E24"/>
    <mergeCell ref="D25:E25"/>
    <mergeCell ref="D13:E13"/>
    <mergeCell ref="D17:E17"/>
    <mergeCell ref="D19:E19"/>
    <mergeCell ref="D20:E20"/>
    <mergeCell ref="D22:E22"/>
    <mergeCell ref="D28:E28"/>
    <mergeCell ref="D29:E29"/>
    <mergeCell ref="C32:E32"/>
    <mergeCell ref="F36:G36"/>
    <mergeCell ref="D26:E26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CA17-32F6-40A7-A3FC-286FE337779D}">
  <sheetPr>
    <pageSetUpPr fitToPage="1"/>
  </sheetPr>
  <dimension ref="B3:L49"/>
  <sheetViews>
    <sheetView view="pageBreakPreview" topLeftCell="A16" zoomScale="85" zoomScaleNormal="85" zoomScaleSheetLayoutView="85" workbookViewId="0">
      <selection activeCell="D21" sqref="D21:E2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4.5546875" style="1" customWidth="1"/>
    <col min="9" max="11" width="8.88671875" style="1"/>
    <col min="12" max="12" width="21.441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191</v>
      </c>
      <c r="F4" s="6" t="s">
        <v>2</v>
      </c>
      <c r="G4" s="24">
        <f>+E47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F37</f>
        <v>753275451.98999989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192</v>
      </c>
      <c r="F6" s="7" t="s">
        <v>5</v>
      </c>
      <c r="G6" s="25">
        <f>G4-G5</f>
        <v>-429838293.75019991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-1.3289700419378312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141</v>
      </c>
      <c r="D18" s="133" t="s">
        <v>142</v>
      </c>
      <c r="E18" s="128"/>
      <c r="F18" s="97">
        <f>+LK.11!F30+LK.12!F31</f>
        <v>26139065</v>
      </c>
      <c r="G18" s="52"/>
      <c r="H18" s="35"/>
    </row>
    <row r="19" spans="2:12" ht="20.399999999999999" x14ac:dyDescent="0.5">
      <c r="B19" s="34"/>
      <c r="C19" s="87" t="s">
        <v>155</v>
      </c>
      <c r="D19" s="133" t="s">
        <v>156</v>
      </c>
      <c r="E19" s="128"/>
      <c r="F19" s="97">
        <f>+LK.13!F30+LK.14!F31</f>
        <v>24398044.800000001</v>
      </c>
      <c r="G19" s="52"/>
      <c r="H19" s="35"/>
    </row>
    <row r="20" spans="2:12" ht="20.399999999999999" x14ac:dyDescent="0.5">
      <c r="B20" s="34"/>
      <c r="C20" s="87" t="s">
        <v>171</v>
      </c>
      <c r="D20" s="133" t="s">
        <v>172</v>
      </c>
      <c r="E20" s="128"/>
      <c r="F20" s="97">
        <f>+LK.15!F31+LK.16!F33</f>
        <v>53220790</v>
      </c>
      <c r="G20" s="52"/>
      <c r="H20" s="35"/>
      <c r="L20" s="1">
        <v>28759660.010000002</v>
      </c>
    </row>
    <row r="21" spans="2:12" ht="20.399999999999999" x14ac:dyDescent="0.5">
      <c r="B21" s="34"/>
      <c r="C21" s="87" t="s">
        <v>187</v>
      </c>
      <c r="D21" s="133" t="s">
        <v>188</v>
      </c>
      <c r="E21" s="128"/>
      <c r="F21" s="97">
        <f>+LK.17!F32+LK.18!F33</f>
        <v>31901522</v>
      </c>
      <c r="G21" s="52"/>
      <c r="H21" s="35"/>
    </row>
    <row r="22" spans="2:12" ht="21.6" x14ac:dyDescent="0.55000000000000004">
      <c r="B22" s="34"/>
      <c r="C22" s="87" t="s">
        <v>195</v>
      </c>
      <c r="D22" s="133" t="s">
        <v>196</v>
      </c>
      <c r="E22" s="128"/>
      <c r="F22" s="97">
        <f>+LK.19!F33</f>
        <v>2940600</v>
      </c>
      <c r="G22" s="47"/>
      <c r="H22" s="35"/>
      <c r="L22" s="104">
        <f>17849500+25450239.99+2940600+28759660.01</f>
        <v>75000000</v>
      </c>
    </row>
    <row r="23" spans="2:12" ht="5.4" customHeight="1" thickBot="1" x14ac:dyDescent="0.55000000000000004">
      <c r="B23" s="34"/>
      <c r="C23" s="65"/>
      <c r="D23" s="88"/>
      <c r="E23" s="88"/>
      <c r="F23" s="89"/>
      <c r="G23" s="64"/>
      <c r="H23" s="35"/>
    </row>
    <row r="24" spans="2:12" ht="21.6" thickTop="1" thickBot="1" x14ac:dyDescent="0.55000000000000004">
      <c r="B24" s="34"/>
      <c r="C24" s="40"/>
      <c r="D24" s="29"/>
      <c r="E24" s="61" t="s">
        <v>14</v>
      </c>
      <c r="F24" s="62">
        <f>SUM(F12:F22)</f>
        <v>732275451.98999989</v>
      </c>
      <c r="G24" s="63">
        <f>G4-F24</f>
        <v>-408838293.75019991</v>
      </c>
      <c r="H24" s="35"/>
      <c r="L24" s="104">
        <f>672336915+11398217.99+F30</f>
        <v>704735132.99000001</v>
      </c>
    </row>
    <row r="25" spans="2:12" ht="5.4" customHeight="1" thickTop="1" x14ac:dyDescent="0.5">
      <c r="B25" s="34"/>
      <c r="C25" s="68"/>
      <c r="D25" s="38"/>
      <c r="E25" s="69"/>
      <c r="F25" s="70"/>
      <c r="G25" s="71"/>
      <c r="H25" s="35"/>
    </row>
    <row r="26" spans="2:12" ht="21" x14ac:dyDescent="0.5">
      <c r="B26" s="34"/>
      <c r="C26" s="84"/>
      <c r="D26" s="118" t="s">
        <v>28</v>
      </c>
      <c r="E26" s="119"/>
      <c r="F26" s="90">
        <v>0</v>
      </c>
      <c r="G26" s="75"/>
      <c r="H26" s="35"/>
    </row>
    <row r="27" spans="2:12" ht="6" customHeight="1" x14ac:dyDescent="0.5">
      <c r="B27" s="34"/>
      <c r="C27" s="84"/>
      <c r="D27" s="76"/>
      <c r="E27" s="77"/>
      <c r="F27" s="90"/>
      <c r="G27" s="75"/>
      <c r="H27" s="35"/>
    </row>
    <row r="28" spans="2:12" ht="20.399999999999999" x14ac:dyDescent="0.5">
      <c r="B28" s="34"/>
      <c r="C28" s="67" t="s">
        <v>12</v>
      </c>
      <c r="D28" s="120" t="s">
        <v>27</v>
      </c>
      <c r="E28" s="121"/>
      <c r="F28" s="79" t="s">
        <v>29</v>
      </c>
      <c r="G28" s="72" t="s">
        <v>30</v>
      </c>
      <c r="H28" s="35"/>
      <c r="L28" s="105">
        <f>264666902+35000000+50000000+35000000+50985790+60000000+22500000+17599900+9700717+10000000+10000000+15941803</f>
        <v>581395112</v>
      </c>
    </row>
    <row r="29" spans="2:12" ht="19.8" x14ac:dyDescent="0.45">
      <c r="B29" s="34"/>
      <c r="C29" s="103"/>
      <c r="D29" s="122" t="s">
        <v>177</v>
      </c>
      <c r="E29" s="123"/>
      <c r="F29" s="94">
        <v>0</v>
      </c>
      <c r="G29" s="95">
        <v>0</v>
      </c>
      <c r="H29" s="35"/>
      <c r="L29" s="105">
        <f>2940600</f>
        <v>2940600</v>
      </c>
    </row>
    <row r="30" spans="2:12" ht="19.8" customHeight="1" x14ac:dyDescent="0.45">
      <c r="B30" s="34"/>
      <c r="C30" s="85">
        <v>44938</v>
      </c>
      <c r="D30" s="134" t="s">
        <v>193</v>
      </c>
      <c r="E30" s="135"/>
      <c r="F30" s="94">
        <v>21000000</v>
      </c>
      <c r="G30" s="95">
        <f>75000000-25450239.99-17849500-2940600-F30</f>
        <v>7759660.0100000054</v>
      </c>
      <c r="H30" s="35"/>
      <c r="L30" s="110">
        <f>2940600+43299739.99</f>
        <v>46240339.990000002</v>
      </c>
    </row>
    <row r="31" spans="2:12" ht="19.8" customHeight="1" x14ac:dyDescent="0.45">
      <c r="B31" s="34"/>
      <c r="C31" s="85"/>
      <c r="D31" s="134"/>
      <c r="E31" s="135"/>
      <c r="F31" s="94"/>
      <c r="G31" s="95"/>
      <c r="H31" s="35"/>
      <c r="L31" s="105">
        <v>31700260.010000002</v>
      </c>
    </row>
    <row r="32" spans="2:12" ht="7.8" customHeight="1" x14ac:dyDescent="0.5">
      <c r="B32" s="34"/>
      <c r="C32" s="85"/>
      <c r="D32" s="66"/>
      <c r="E32" s="82"/>
      <c r="F32" s="92"/>
      <c r="G32" s="93"/>
      <c r="H32" s="35"/>
      <c r="L32" s="39"/>
    </row>
    <row r="33" spans="2:12" ht="19.2" customHeight="1" x14ac:dyDescent="0.5">
      <c r="B33" s="34"/>
      <c r="C33" s="67" t="s">
        <v>12</v>
      </c>
      <c r="D33" s="124" t="s">
        <v>32</v>
      </c>
      <c r="E33" s="121"/>
      <c r="F33" s="79"/>
      <c r="G33" s="73"/>
      <c r="H33" s="35"/>
      <c r="L33" s="39">
        <v>3240937.71</v>
      </c>
    </row>
    <row r="34" spans="2:12" ht="21" x14ac:dyDescent="0.5">
      <c r="B34" s="34"/>
      <c r="C34" s="85">
        <v>45145</v>
      </c>
      <c r="D34" s="130" t="s">
        <v>194</v>
      </c>
      <c r="E34" s="131"/>
      <c r="F34" s="80">
        <v>21000000</v>
      </c>
      <c r="G34" s="74"/>
      <c r="H34" s="35"/>
    </row>
    <row r="35" spans="2:12" ht="21" x14ac:dyDescent="0.5">
      <c r="B35" s="34"/>
      <c r="C35" s="86"/>
      <c r="D35" s="43"/>
      <c r="E35" s="83" t="s">
        <v>13</v>
      </c>
      <c r="F35" s="81">
        <f>F34-SUM(F29:F31)</f>
        <v>0</v>
      </c>
      <c r="G35" s="44"/>
      <c r="H35" s="35"/>
      <c r="L35" s="1">
        <v>8785214.7100000009</v>
      </c>
    </row>
    <row r="36" spans="2:12" ht="10.199999999999999" customHeight="1" thickBot="1" x14ac:dyDescent="0.5">
      <c r="B36" s="34"/>
      <c r="C36" s="30"/>
      <c r="D36" s="29"/>
      <c r="E36" s="29"/>
      <c r="F36" s="29"/>
      <c r="G36" s="28"/>
      <c r="H36" s="35"/>
    </row>
    <row r="37" spans="2:12" ht="21" thickTop="1" x14ac:dyDescent="0.5">
      <c r="B37" s="34"/>
      <c r="C37" s="112" t="s">
        <v>15</v>
      </c>
      <c r="D37" s="113"/>
      <c r="E37" s="113"/>
      <c r="F37" s="49">
        <f>F24+F34</f>
        <v>753275451.98999989</v>
      </c>
      <c r="G37" s="50">
        <f>G4-F37</f>
        <v>-429838293.75019991</v>
      </c>
      <c r="H37" s="35"/>
      <c r="L37" s="101">
        <v>26970387.809999999</v>
      </c>
    </row>
    <row r="38" spans="2:12" ht="20.399999999999999" x14ac:dyDescent="0.5">
      <c r="B38" s="34"/>
      <c r="C38" s="51" t="s">
        <v>16</v>
      </c>
      <c r="D38" s="45"/>
      <c r="E38" s="52"/>
      <c r="F38" s="53"/>
      <c r="G38" s="54"/>
      <c r="H38" s="35"/>
    </row>
    <row r="39" spans="2:12" ht="21" x14ac:dyDescent="0.5">
      <c r="B39" s="34"/>
      <c r="C39" s="55" t="s">
        <v>17</v>
      </c>
      <c r="D39" s="56" t="s">
        <v>1</v>
      </c>
      <c r="E39" s="41">
        <f>F35</f>
        <v>0</v>
      </c>
      <c r="F39" s="53"/>
      <c r="G39" s="54"/>
      <c r="H39" s="35"/>
      <c r="L39" s="1">
        <v>23189020.010000002</v>
      </c>
    </row>
    <row r="40" spans="2:12" ht="20.399999999999999" x14ac:dyDescent="0.5">
      <c r="B40" s="34"/>
      <c r="C40" s="55" t="s">
        <v>18</v>
      </c>
      <c r="D40" s="56" t="s">
        <v>1</v>
      </c>
      <c r="E40" s="57" t="s">
        <v>19</v>
      </c>
      <c r="F40" s="53"/>
      <c r="G40" s="54"/>
      <c r="H40" s="35"/>
      <c r="L40" s="108"/>
    </row>
    <row r="41" spans="2:12" ht="20.399999999999999" x14ac:dyDescent="0.5">
      <c r="B41" s="34"/>
      <c r="C41" s="58" t="s">
        <v>20</v>
      </c>
      <c r="D41" s="59" t="s">
        <v>1</v>
      </c>
      <c r="E41" s="60" t="s">
        <v>55</v>
      </c>
      <c r="F41" s="114" t="s">
        <v>26</v>
      </c>
      <c r="G41" s="115"/>
      <c r="H41" s="35"/>
      <c r="L41" s="109"/>
    </row>
    <row r="42" spans="2:12" ht="6" customHeight="1" x14ac:dyDescent="0.45">
      <c r="B42" s="36"/>
      <c r="C42" s="27"/>
      <c r="D42" s="27"/>
      <c r="E42" s="27"/>
      <c r="F42" s="27"/>
      <c r="G42" s="27"/>
      <c r="H42" s="37"/>
    </row>
    <row r="43" spans="2:12" ht="18.600000000000001" x14ac:dyDescent="0.45">
      <c r="C43" s="2"/>
      <c r="D43" s="2"/>
      <c r="E43" s="2"/>
      <c r="F43" s="2"/>
      <c r="G43" s="2"/>
    </row>
    <row r="44" spans="2:12" ht="19.8" x14ac:dyDescent="0.45">
      <c r="C44" s="12" t="s">
        <v>21</v>
      </c>
      <c r="D44" s="13"/>
      <c r="E44" s="14"/>
      <c r="F44" s="15"/>
      <c r="G44" s="2"/>
    </row>
    <row r="45" spans="2:12" ht="19.8" x14ac:dyDescent="0.35">
      <c r="C45" s="12"/>
      <c r="D45" s="13"/>
      <c r="E45" s="14"/>
      <c r="F45" s="16" t="s">
        <v>22</v>
      </c>
      <c r="G45" s="17">
        <v>15000000</v>
      </c>
    </row>
    <row r="46" spans="2:12" ht="19.8" x14ac:dyDescent="0.35">
      <c r="C46" s="12" t="s">
        <v>23</v>
      </c>
      <c r="D46" s="13"/>
      <c r="E46" s="14">
        <v>32343715823.98</v>
      </c>
      <c r="F46" s="18" t="s">
        <v>24</v>
      </c>
      <c r="G46" s="19"/>
    </row>
    <row r="47" spans="2:12" ht="19.8" x14ac:dyDescent="0.35">
      <c r="C47" s="20">
        <v>0.01</v>
      </c>
      <c r="D47" s="13"/>
      <c r="E47" s="14">
        <f>E46*C47</f>
        <v>323437158.23979998</v>
      </c>
      <c r="F47" s="18" t="s">
        <v>25</v>
      </c>
      <c r="G47" s="21"/>
    </row>
    <row r="48" spans="2:12" ht="18.600000000000001" x14ac:dyDescent="0.45">
      <c r="C48" s="2"/>
      <c r="D48" s="2"/>
      <c r="E48" s="2"/>
      <c r="F48" s="2"/>
      <c r="G48" s="2"/>
    </row>
    <row r="49" spans="3:7" ht="18.600000000000001" x14ac:dyDescent="0.45">
      <c r="C49" s="2"/>
      <c r="D49" s="2"/>
      <c r="E49" s="2"/>
      <c r="F49" s="2"/>
      <c r="G49" s="2"/>
    </row>
  </sheetData>
  <mergeCells count="23">
    <mergeCell ref="D21:E21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3:E33"/>
    <mergeCell ref="D34:E34"/>
    <mergeCell ref="C37:E37"/>
    <mergeCell ref="F41:G41"/>
    <mergeCell ref="D22:E22"/>
    <mergeCell ref="D26:E26"/>
    <mergeCell ref="D28:E28"/>
    <mergeCell ref="D29:E29"/>
    <mergeCell ref="D30:E30"/>
    <mergeCell ref="D31:E31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896E-A852-487A-ABBC-DBD62E8DB7E5}">
  <sheetPr>
    <pageSetUpPr fitToPage="1"/>
  </sheetPr>
  <dimension ref="B3:L50"/>
  <sheetViews>
    <sheetView view="pageBreakPreview" topLeftCell="A22" zoomScale="85" zoomScaleNormal="85" zoomScaleSheetLayoutView="85" workbookViewId="0">
      <selection activeCell="G26" sqref="G26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4.5546875" style="1" customWidth="1"/>
    <col min="9" max="11" width="8.88671875" style="1"/>
    <col min="12" max="12" width="21.441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197</v>
      </c>
      <c r="F4" s="6" t="s">
        <v>2</v>
      </c>
      <c r="G4" s="24">
        <f>+E48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F38</f>
        <v>772734551.98999989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199</v>
      </c>
      <c r="F6" s="7" t="s">
        <v>5</v>
      </c>
      <c r="G6" s="25">
        <f>G4-G5</f>
        <v>-449297393.75019991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-1.3891335064757331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141</v>
      </c>
      <c r="D18" s="133" t="s">
        <v>142</v>
      </c>
      <c r="E18" s="128"/>
      <c r="F18" s="97">
        <f>+LK.11!F30+LK.12!F31</f>
        <v>26139065</v>
      </c>
      <c r="G18" s="52"/>
      <c r="H18" s="35"/>
    </row>
    <row r="19" spans="2:12" ht="20.399999999999999" x14ac:dyDescent="0.5">
      <c r="B19" s="34"/>
      <c r="C19" s="87" t="s">
        <v>155</v>
      </c>
      <c r="D19" s="133" t="s">
        <v>156</v>
      </c>
      <c r="E19" s="128"/>
      <c r="F19" s="97">
        <f>+LK.13!F30+LK.14!F31</f>
        <v>24398044.800000001</v>
      </c>
      <c r="G19" s="52"/>
      <c r="H19" s="35"/>
    </row>
    <row r="20" spans="2:12" ht="20.399999999999999" x14ac:dyDescent="0.5">
      <c r="B20" s="34"/>
      <c r="C20" s="87" t="s">
        <v>171</v>
      </c>
      <c r="D20" s="133" t="s">
        <v>172</v>
      </c>
      <c r="E20" s="128"/>
      <c r="F20" s="97">
        <f>+LK.15!F31+LK.16!F33</f>
        <v>53220790</v>
      </c>
      <c r="G20" s="52"/>
      <c r="H20" s="35"/>
      <c r="L20" s="1">
        <v>73300560.010000005</v>
      </c>
    </row>
    <row r="21" spans="2:12" ht="20.399999999999999" x14ac:dyDescent="0.5">
      <c r="B21" s="34"/>
      <c r="C21" s="87" t="s">
        <v>187</v>
      </c>
      <c r="D21" s="133" t="s">
        <v>188</v>
      </c>
      <c r="E21" s="128"/>
      <c r="F21" s="97">
        <f>+LK.17!F32+LK.18!F33</f>
        <v>31901522</v>
      </c>
      <c r="G21" s="52"/>
      <c r="H21" s="35"/>
    </row>
    <row r="22" spans="2:12" ht="21.6" x14ac:dyDescent="0.55000000000000004">
      <c r="B22" s="34"/>
      <c r="C22" s="87" t="s">
        <v>200</v>
      </c>
      <c r="D22" s="133" t="s">
        <v>201</v>
      </c>
      <c r="E22" s="128"/>
      <c r="F22" s="97">
        <f>+LK.19!F33+LK.20!F34</f>
        <v>23940600</v>
      </c>
      <c r="G22" s="47"/>
      <c r="H22" s="35"/>
      <c r="L22" s="104">
        <f>17849500+25450239.99+2940600+28759660.01</f>
        <v>75000000</v>
      </c>
    </row>
    <row r="23" spans="2:12" ht="5.4" customHeight="1" thickBot="1" x14ac:dyDescent="0.55000000000000004">
      <c r="B23" s="34"/>
      <c r="C23" s="65"/>
      <c r="D23" s="88"/>
      <c r="E23" s="88"/>
      <c r="F23" s="89"/>
      <c r="G23" s="64"/>
      <c r="H23" s="35"/>
    </row>
    <row r="24" spans="2:12" ht="21.6" thickTop="1" thickBot="1" x14ac:dyDescent="0.55000000000000004">
      <c r="B24" s="34"/>
      <c r="C24" s="40"/>
      <c r="D24" s="29"/>
      <c r="E24" s="61" t="s">
        <v>14</v>
      </c>
      <c r="F24" s="62">
        <f>SUM(F12:F22)</f>
        <v>753275451.98999989</v>
      </c>
      <c r="G24" s="63">
        <f>G4-F24</f>
        <v>-429838293.75019991</v>
      </c>
      <c r="H24" s="35"/>
      <c r="L24" s="104">
        <f>672336915+11398217.99+F30</f>
        <v>691494793</v>
      </c>
    </row>
    <row r="25" spans="2:12" ht="5.4" customHeight="1" thickTop="1" x14ac:dyDescent="0.5">
      <c r="B25" s="34"/>
      <c r="C25" s="68"/>
      <c r="D25" s="38"/>
      <c r="E25" s="69"/>
      <c r="F25" s="70"/>
      <c r="G25" s="71"/>
      <c r="H25" s="35"/>
    </row>
    <row r="26" spans="2:12" ht="21" x14ac:dyDescent="0.5">
      <c r="B26" s="34"/>
      <c r="C26" s="84"/>
      <c r="D26" s="118" t="s">
        <v>28</v>
      </c>
      <c r="E26" s="119"/>
      <c r="F26" s="90">
        <v>0</v>
      </c>
      <c r="G26" s="75"/>
      <c r="H26" s="35"/>
    </row>
    <row r="27" spans="2:12" ht="6" customHeight="1" x14ac:dyDescent="0.5">
      <c r="B27" s="34"/>
      <c r="C27" s="84"/>
      <c r="D27" s="76"/>
      <c r="E27" s="77"/>
      <c r="F27" s="90"/>
      <c r="G27" s="75"/>
      <c r="H27" s="35"/>
    </row>
    <row r="28" spans="2:12" ht="20.399999999999999" x14ac:dyDescent="0.5">
      <c r="B28" s="34"/>
      <c r="C28" s="67" t="s">
        <v>12</v>
      </c>
      <c r="D28" s="120" t="s">
        <v>27</v>
      </c>
      <c r="E28" s="121"/>
      <c r="F28" s="79" t="s">
        <v>29</v>
      </c>
      <c r="G28" s="72" t="s">
        <v>30</v>
      </c>
      <c r="H28" s="35"/>
      <c r="L28" s="105">
        <f>264666902+35000000+50000000+35000000+50985790+60000000+22500000+17599900+9700717+10000000+10000000+15941803</f>
        <v>581395112</v>
      </c>
    </row>
    <row r="29" spans="2:12" ht="19.8" x14ac:dyDescent="0.45">
      <c r="B29" s="34"/>
      <c r="C29" s="103"/>
      <c r="D29" s="122" t="s">
        <v>177</v>
      </c>
      <c r="E29" s="123"/>
      <c r="F29" s="94">
        <v>0</v>
      </c>
      <c r="G29" s="95">
        <v>0</v>
      </c>
      <c r="H29" s="35"/>
      <c r="L29" s="105">
        <f>2940600</f>
        <v>2940600</v>
      </c>
    </row>
    <row r="30" spans="2:12" ht="19.8" customHeight="1" x14ac:dyDescent="0.45">
      <c r="B30" s="34"/>
      <c r="C30" s="85">
        <v>44938</v>
      </c>
      <c r="D30" s="134" t="s">
        <v>202</v>
      </c>
      <c r="E30" s="135"/>
      <c r="F30" s="94">
        <v>7759660.0100000054</v>
      </c>
      <c r="G30" s="95">
        <v>0</v>
      </c>
      <c r="H30" s="35"/>
      <c r="L30" s="110">
        <f>2940600+43299739.99</f>
        <v>46240339.990000002</v>
      </c>
    </row>
    <row r="31" spans="2:12" ht="19.8" customHeight="1" x14ac:dyDescent="0.45">
      <c r="B31" s="34"/>
      <c r="C31" s="85">
        <v>44938</v>
      </c>
      <c r="D31" s="134" t="s">
        <v>203</v>
      </c>
      <c r="E31" s="135"/>
      <c r="F31" s="94">
        <v>10000000</v>
      </c>
      <c r="G31" s="95">
        <v>0</v>
      </c>
      <c r="H31" s="35"/>
      <c r="L31" s="110"/>
    </row>
    <row r="32" spans="2:12" ht="19.8" customHeight="1" x14ac:dyDescent="0.45">
      <c r="B32" s="34"/>
      <c r="C32" s="85">
        <v>44938</v>
      </c>
      <c r="D32" s="134" t="s">
        <v>204</v>
      </c>
      <c r="E32" s="135"/>
      <c r="F32" s="94">
        <v>1699439.99</v>
      </c>
      <c r="G32" s="95">
        <f>75000000-F32</f>
        <v>73300560.010000005</v>
      </c>
      <c r="H32" s="35"/>
      <c r="L32" s="105">
        <v>31700260.010000002</v>
      </c>
    </row>
    <row r="33" spans="2:12" ht="7.8" customHeight="1" x14ac:dyDescent="0.5">
      <c r="B33" s="34"/>
      <c r="C33" s="85"/>
      <c r="D33" s="66"/>
      <c r="E33" s="82"/>
      <c r="F33" s="92"/>
      <c r="G33" s="93"/>
      <c r="H33" s="35"/>
      <c r="L33" s="39"/>
    </row>
    <row r="34" spans="2:12" ht="19.2" customHeight="1" x14ac:dyDescent="0.5">
      <c r="B34" s="34"/>
      <c r="C34" s="67" t="s">
        <v>12</v>
      </c>
      <c r="D34" s="124" t="s">
        <v>32</v>
      </c>
      <c r="E34" s="121"/>
      <c r="F34" s="79"/>
      <c r="G34" s="73"/>
      <c r="H34" s="35"/>
      <c r="L34" s="39">
        <v>3240937.71</v>
      </c>
    </row>
    <row r="35" spans="2:12" ht="21" x14ac:dyDescent="0.5">
      <c r="B35" s="34"/>
      <c r="C35" s="85">
        <v>45145</v>
      </c>
      <c r="D35" s="130" t="s">
        <v>198</v>
      </c>
      <c r="E35" s="131"/>
      <c r="F35" s="80">
        <v>19459100</v>
      </c>
      <c r="G35" s="74"/>
      <c r="H35" s="35"/>
    </row>
    <row r="36" spans="2:12" ht="21" x14ac:dyDescent="0.5">
      <c r="B36" s="34"/>
      <c r="C36" s="86"/>
      <c r="D36" s="43"/>
      <c r="E36" s="83" t="s">
        <v>13</v>
      </c>
      <c r="F36" s="81">
        <f>F35-SUM(F29:F32)</f>
        <v>0</v>
      </c>
      <c r="G36" s="44"/>
      <c r="H36" s="35"/>
      <c r="L36" s="1">
        <v>8785214.7100000009</v>
      </c>
    </row>
    <row r="37" spans="2:12" ht="10.199999999999999" customHeight="1" thickBot="1" x14ac:dyDescent="0.5">
      <c r="B37" s="34"/>
      <c r="C37" s="30"/>
      <c r="D37" s="29"/>
      <c r="E37" s="29"/>
      <c r="F37" s="29"/>
      <c r="G37" s="28"/>
      <c r="H37" s="35"/>
    </row>
    <row r="38" spans="2:12" ht="21" thickTop="1" x14ac:dyDescent="0.5">
      <c r="B38" s="34"/>
      <c r="C38" s="112" t="s">
        <v>15</v>
      </c>
      <c r="D38" s="113"/>
      <c r="E38" s="113"/>
      <c r="F38" s="49">
        <f>F24+F35</f>
        <v>772734551.98999989</v>
      </c>
      <c r="G38" s="50">
        <f>G4-F38</f>
        <v>-449297393.75019991</v>
      </c>
      <c r="H38" s="35"/>
      <c r="L38" s="101">
        <v>26970387.809999999</v>
      </c>
    </row>
    <row r="39" spans="2:12" ht="20.399999999999999" x14ac:dyDescent="0.5">
      <c r="B39" s="34"/>
      <c r="C39" s="51" t="s">
        <v>16</v>
      </c>
      <c r="D39" s="45"/>
      <c r="E39" s="52"/>
      <c r="F39" s="53"/>
      <c r="G39" s="54"/>
      <c r="H39" s="35"/>
    </row>
    <row r="40" spans="2:12" ht="21" x14ac:dyDescent="0.5">
      <c r="B40" s="34"/>
      <c r="C40" s="55" t="s">
        <v>17</v>
      </c>
      <c r="D40" s="56" t="s">
        <v>1</v>
      </c>
      <c r="E40" s="41">
        <f>F36</f>
        <v>0</v>
      </c>
      <c r="F40" s="53"/>
      <c r="G40" s="54"/>
      <c r="H40" s="35"/>
      <c r="L40" s="1">
        <v>23189020.010000002</v>
      </c>
    </row>
    <row r="41" spans="2:12" ht="20.399999999999999" x14ac:dyDescent="0.5">
      <c r="B41" s="34"/>
      <c r="C41" s="55" t="s">
        <v>18</v>
      </c>
      <c r="D41" s="56" t="s">
        <v>1</v>
      </c>
      <c r="E41" s="57" t="s">
        <v>19</v>
      </c>
      <c r="F41" s="53"/>
      <c r="G41" s="54"/>
      <c r="H41" s="35"/>
      <c r="L41" s="108"/>
    </row>
    <row r="42" spans="2:12" ht="20.399999999999999" x14ac:dyDescent="0.5">
      <c r="B42" s="34"/>
      <c r="C42" s="58" t="s">
        <v>20</v>
      </c>
      <c r="D42" s="59" t="s">
        <v>1</v>
      </c>
      <c r="E42" s="60" t="s">
        <v>55</v>
      </c>
      <c r="F42" s="114" t="s">
        <v>26</v>
      </c>
      <c r="G42" s="115"/>
      <c r="H42" s="35"/>
      <c r="L42" s="109"/>
    </row>
    <row r="43" spans="2:12" ht="6" customHeight="1" x14ac:dyDescent="0.45">
      <c r="B43" s="36"/>
      <c r="C43" s="27"/>
      <c r="D43" s="27"/>
      <c r="E43" s="27"/>
      <c r="F43" s="27"/>
      <c r="G43" s="27"/>
      <c r="H43" s="37"/>
    </row>
    <row r="44" spans="2:12" ht="18.600000000000001" x14ac:dyDescent="0.45">
      <c r="C44" s="2"/>
      <c r="D44" s="2"/>
      <c r="E44" s="2"/>
      <c r="F44" s="2"/>
      <c r="G44" s="2"/>
    </row>
    <row r="45" spans="2:12" ht="19.8" x14ac:dyDescent="0.45">
      <c r="C45" s="12" t="s">
        <v>21</v>
      </c>
      <c r="D45" s="13"/>
      <c r="E45" s="14"/>
      <c r="F45" s="15"/>
      <c r="G45" s="2"/>
    </row>
    <row r="46" spans="2:12" ht="19.8" x14ac:dyDescent="0.35">
      <c r="C46" s="12"/>
      <c r="D46" s="13"/>
      <c r="E46" s="14"/>
      <c r="F46" s="16" t="s">
        <v>22</v>
      </c>
      <c r="G46" s="17">
        <v>15000000</v>
      </c>
    </row>
    <row r="47" spans="2:12" ht="19.8" x14ac:dyDescent="0.35">
      <c r="C47" s="12" t="s">
        <v>23</v>
      </c>
      <c r="D47" s="13"/>
      <c r="E47" s="14">
        <v>32343715823.98</v>
      </c>
      <c r="F47" s="18" t="s">
        <v>24</v>
      </c>
      <c r="G47" s="19"/>
    </row>
    <row r="48" spans="2:12" ht="19.8" x14ac:dyDescent="0.35">
      <c r="C48" s="20">
        <v>0.01</v>
      </c>
      <c r="D48" s="13"/>
      <c r="E48" s="14">
        <f>E47*C48</f>
        <v>323437158.23979998</v>
      </c>
      <c r="F48" s="18" t="s">
        <v>25</v>
      </c>
      <c r="G48" s="21"/>
    </row>
    <row r="49" spans="3:7" ht="18.600000000000001" x14ac:dyDescent="0.45">
      <c r="C49" s="2"/>
      <c r="D49" s="2"/>
      <c r="E49" s="2"/>
      <c r="F49" s="2"/>
      <c r="G49" s="2"/>
    </row>
    <row r="50" spans="3:7" ht="18.600000000000001" x14ac:dyDescent="0.45">
      <c r="C50" s="2"/>
      <c r="D50" s="2"/>
      <c r="E50" s="2"/>
      <c r="F50" s="2"/>
      <c r="G50" s="2"/>
    </row>
  </sheetData>
  <mergeCells count="24">
    <mergeCell ref="D32:E32"/>
    <mergeCell ref="D34:E34"/>
    <mergeCell ref="D35:E35"/>
    <mergeCell ref="C38:E38"/>
    <mergeCell ref="F42:G42"/>
    <mergeCell ref="D31:E31"/>
    <mergeCell ref="D21:E21"/>
    <mergeCell ref="D22:E22"/>
    <mergeCell ref="D26:E26"/>
    <mergeCell ref="D28:E28"/>
    <mergeCell ref="D29:E29"/>
    <mergeCell ref="D30:E30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3D29-51FA-4F4D-89FA-E6AFE521EE32}">
  <sheetPr>
    <pageSetUpPr fitToPage="1"/>
  </sheetPr>
  <dimension ref="B3:L50"/>
  <sheetViews>
    <sheetView view="pageBreakPreview" topLeftCell="A18" zoomScale="85" zoomScaleNormal="85" zoomScaleSheetLayoutView="85" workbookViewId="0">
      <selection activeCell="L34" sqref="L3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4.5546875" style="1" customWidth="1"/>
    <col min="9" max="11" width="8.88671875" style="1"/>
    <col min="12" max="12" width="21.441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206</v>
      </c>
      <c r="F4" s="6" t="s">
        <v>2</v>
      </c>
      <c r="G4" s="24">
        <f>+E48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F38</f>
        <v>812331051.98999989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205</v>
      </c>
      <c r="F6" s="7" t="s">
        <v>5</v>
      </c>
      <c r="G6" s="25">
        <f>G4-G5</f>
        <v>-488893893.75019991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-1.5115575971877926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141</v>
      </c>
      <c r="D18" s="133" t="s">
        <v>142</v>
      </c>
      <c r="E18" s="128"/>
      <c r="F18" s="97">
        <f>+LK.11!F30+LK.12!F31</f>
        <v>26139065</v>
      </c>
      <c r="G18" s="52"/>
      <c r="H18" s="35"/>
    </row>
    <row r="19" spans="2:12" ht="20.399999999999999" x14ac:dyDescent="0.5">
      <c r="B19" s="34"/>
      <c r="C19" s="87" t="s">
        <v>155</v>
      </c>
      <c r="D19" s="133" t="s">
        <v>156</v>
      </c>
      <c r="E19" s="128"/>
      <c r="F19" s="97">
        <f>+LK.13!F30+LK.14!F31</f>
        <v>24398044.800000001</v>
      </c>
      <c r="G19" s="52"/>
      <c r="H19" s="35"/>
      <c r="L19" s="1">
        <v>757336915</v>
      </c>
    </row>
    <row r="20" spans="2:12" ht="20.399999999999999" x14ac:dyDescent="0.5">
      <c r="B20" s="34"/>
      <c r="C20" s="87" t="s">
        <v>171</v>
      </c>
      <c r="D20" s="133" t="s">
        <v>172</v>
      </c>
      <c r="E20" s="128"/>
      <c r="F20" s="97">
        <f>+LK.15!F31+LK.16!F33</f>
        <v>53220790</v>
      </c>
      <c r="G20" s="52"/>
      <c r="H20" s="35"/>
      <c r="L20" s="1">
        <v>73300560.010000005</v>
      </c>
    </row>
    <row r="21" spans="2:12" ht="20.399999999999999" x14ac:dyDescent="0.5">
      <c r="B21" s="34"/>
      <c r="C21" s="87" t="s">
        <v>187</v>
      </c>
      <c r="D21" s="133" t="s">
        <v>188</v>
      </c>
      <c r="E21" s="128"/>
      <c r="F21" s="97">
        <f>+LK.17!F32+LK.18!F33</f>
        <v>31901522</v>
      </c>
      <c r="G21" s="52"/>
      <c r="H21" s="35"/>
    </row>
    <row r="22" spans="2:12" ht="21.6" x14ac:dyDescent="0.55000000000000004">
      <c r="B22" s="34"/>
      <c r="C22" s="87" t="s">
        <v>200</v>
      </c>
      <c r="D22" s="133" t="s">
        <v>201</v>
      </c>
      <c r="E22" s="128"/>
      <c r="F22" s="97">
        <f>+LK.19!F33+LK.20!F34</f>
        <v>23940600</v>
      </c>
      <c r="G22" s="52"/>
      <c r="H22" s="35"/>
    </row>
    <row r="23" spans="2:12" ht="21.6" x14ac:dyDescent="0.55000000000000004">
      <c r="B23" s="34"/>
      <c r="C23" s="87" t="s">
        <v>207</v>
      </c>
      <c r="D23" s="133" t="s">
        <v>208</v>
      </c>
      <c r="E23" s="128"/>
      <c r="F23" s="97">
        <f>+LK.21!F35</f>
        <v>19459100</v>
      </c>
      <c r="G23" s="47"/>
      <c r="H23" s="35"/>
      <c r="L23" s="104">
        <f>17849500+25450239.99+2940600+28759660.01</f>
        <v>75000000</v>
      </c>
    </row>
    <row r="24" spans="2:12" ht="5.4" customHeight="1" thickBot="1" x14ac:dyDescent="0.55000000000000004">
      <c r="B24" s="34"/>
      <c r="C24" s="65"/>
      <c r="D24" s="88"/>
      <c r="E24" s="88"/>
      <c r="F24" s="89"/>
      <c r="G24" s="64"/>
      <c r="H24" s="35"/>
    </row>
    <row r="25" spans="2:12" ht="21.6" thickTop="1" thickBot="1" x14ac:dyDescent="0.55000000000000004">
      <c r="B25" s="34"/>
      <c r="C25" s="40"/>
      <c r="D25" s="29"/>
      <c r="E25" s="61" t="s">
        <v>14</v>
      </c>
      <c r="F25" s="62">
        <f>SUM(F12:F23)</f>
        <v>772734551.98999989</v>
      </c>
      <c r="G25" s="63">
        <f>G4-F25</f>
        <v>-449297393.75019991</v>
      </c>
      <c r="H25" s="35"/>
      <c r="L25" s="104" t="e">
        <f>672336915+11398217.99+#REF!</f>
        <v>#REF!</v>
      </c>
    </row>
    <row r="26" spans="2:12" ht="5.4" customHeight="1" thickTop="1" x14ac:dyDescent="0.5">
      <c r="B26" s="34"/>
      <c r="C26" s="68"/>
      <c r="D26" s="38"/>
      <c r="E26" s="69"/>
      <c r="F26" s="70"/>
      <c r="G26" s="71"/>
      <c r="H26" s="35"/>
    </row>
    <row r="27" spans="2:12" ht="21" x14ac:dyDescent="0.5">
      <c r="B27" s="34"/>
      <c r="C27" s="84"/>
      <c r="D27" s="118" t="s">
        <v>28</v>
      </c>
      <c r="E27" s="119"/>
      <c r="F27" s="90">
        <v>0</v>
      </c>
      <c r="G27" s="75"/>
      <c r="H27" s="35"/>
    </row>
    <row r="28" spans="2:12" ht="6" customHeight="1" x14ac:dyDescent="0.5">
      <c r="B28" s="34"/>
      <c r="C28" s="84"/>
      <c r="D28" s="76"/>
      <c r="E28" s="77"/>
      <c r="F28" s="90"/>
      <c r="G28" s="75"/>
      <c r="H28" s="35"/>
    </row>
    <row r="29" spans="2:12" ht="20.399999999999999" x14ac:dyDescent="0.5">
      <c r="B29" s="34"/>
      <c r="C29" s="67" t="s">
        <v>12</v>
      </c>
      <c r="D29" s="120" t="s">
        <v>27</v>
      </c>
      <c r="E29" s="121"/>
      <c r="F29" s="79" t="s">
        <v>29</v>
      </c>
      <c r="G29" s="72" t="s">
        <v>30</v>
      </c>
      <c r="H29" s="35"/>
      <c r="L29" s="105">
        <f>264666902+35000000+50000000+35000000+50985790+60000000+22500000+17599900+9700717+10000000+10000000+15941803</f>
        <v>581395112</v>
      </c>
    </row>
    <row r="30" spans="2:12" ht="19.8" x14ac:dyDescent="0.45">
      <c r="B30" s="34"/>
      <c r="C30" s="103"/>
      <c r="D30" s="122" t="s">
        <v>210</v>
      </c>
      <c r="E30" s="123"/>
      <c r="F30" s="94">
        <v>0</v>
      </c>
      <c r="G30" s="95">
        <v>0</v>
      </c>
      <c r="H30" s="35"/>
      <c r="L30" s="105">
        <f>2940600</f>
        <v>2940600</v>
      </c>
    </row>
    <row r="31" spans="2:12" ht="19.8" customHeight="1" x14ac:dyDescent="0.45">
      <c r="B31" s="34"/>
      <c r="C31" s="85">
        <v>44938</v>
      </c>
      <c r="D31" s="134" t="s">
        <v>211</v>
      </c>
      <c r="E31" s="135"/>
      <c r="F31" s="94">
        <v>39596500</v>
      </c>
      <c r="G31" s="95">
        <f>75000000-1699439.99-F31</f>
        <v>33704060.010000005</v>
      </c>
      <c r="H31" s="35"/>
      <c r="L31" s="110"/>
    </row>
    <row r="32" spans="2:12" ht="19.8" customHeight="1" x14ac:dyDescent="0.45">
      <c r="B32" s="34"/>
      <c r="C32" s="85"/>
      <c r="D32" s="134"/>
      <c r="E32" s="135"/>
      <c r="F32" s="94"/>
      <c r="G32" s="95"/>
      <c r="H32" s="35"/>
      <c r="L32" s="105">
        <v>31700260.010000002</v>
      </c>
    </row>
    <row r="33" spans="2:12" ht="7.8" customHeight="1" x14ac:dyDescent="0.5">
      <c r="B33" s="34"/>
      <c r="C33" s="85"/>
      <c r="D33" s="66"/>
      <c r="E33" s="82"/>
      <c r="F33" s="92"/>
      <c r="G33" s="93"/>
      <c r="H33" s="35"/>
      <c r="L33" s="39"/>
    </row>
    <row r="34" spans="2:12" ht="19.2" customHeight="1" x14ac:dyDescent="0.5">
      <c r="B34" s="34"/>
      <c r="C34" s="67" t="s">
        <v>12</v>
      </c>
      <c r="D34" s="124" t="s">
        <v>32</v>
      </c>
      <c r="E34" s="121"/>
      <c r="F34" s="79"/>
      <c r="G34" s="73"/>
      <c r="H34" s="35"/>
      <c r="L34" s="111">
        <v>33704060.009999998</v>
      </c>
    </row>
    <row r="35" spans="2:12" ht="21" x14ac:dyDescent="0.5">
      <c r="B35" s="34"/>
      <c r="C35" s="85">
        <v>45176</v>
      </c>
      <c r="D35" s="130" t="s">
        <v>209</v>
      </c>
      <c r="E35" s="131"/>
      <c r="F35" s="80">
        <v>39596500</v>
      </c>
      <c r="G35" s="74"/>
      <c r="H35" s="35"/>
    </row>
    <row r="36" spans="2:12" ht="21" x14ac:dyDescent="0.5">
      <c r="B36" s="34"/>
      <c r="C36" s="86"/>
      <c r="D36" s="43"/>
      <c r="E36" s="83" t="s">
        <v>13</v>
      </c>
      <c r="F36" s="81">
        <f>F35-SUM(F30:F32)</f>
        <v>0</v>
      </c>
      <c r="G36" s="44"/>
      <c r="H36" s="35"/>
      <c r="L36" s="1">
        <v>8785214.7100000009</v>
      </c>
    </row>
    <row r="37" spans="2:12" ht="10.199999999999999" customHeight="1" thickBot="1" x14ac:dyDescent="0.5">
      <c r="B37" s="34"/>
      <c r="C37" s="30"/>
      <c r="D37" s="29"/>
      <c r="E37" s="29"/>
      <c r="F37" s="29"/>
      <c r="G37" s="28"/>
      <c r="H37" s="35"/>
    </row>
    <row r="38" spans="2:12" ht="21" thickTop="1" x14ac:dyDescent="0.5">
      <c r="B38" s="34"/>
      <c r="C38" s="112" t="s">
        <v>15</v>
      </c>
      <c r="D38" s="113"/>
      <c r="E38" s="113"/>
      <c r="F38" s="49">
        <f>F25+F35</f>
        <v>812331051.98999989</v>
      </c>
      <c r="G38" s="50">
        <f>G4-F38</f>
        <v>-488893893.75019991</v>
      </c>
      <c r="H38" s="35"/>
      <c r="L38" s="101">
        <v>26970387.809999999</v>
      </c>
    </row>
    <row r="39" spans="2:12" ht="20.399999999999999" x14ac:dyDescent="0.5">
      <c r="B39" s="34"/>
      <c r="C39" s="51" t="s">
        <v>16</v>
      </c>
      <c r="D39" s="45"/>
      <c r="E39" s="52"/>
      <c r="F39" s="53"/>
      <c r="G39" s="54"/>
      <c r="H39" s="35"/>
    </row>
    <row r="40" spans="2:12" ht="21" x14ac:dyDescent="0.5">
      <c r="B40" s="34"/>
      <c r="C40" s="55" t="s">
        <v>17</v>
      </c>
      <c r="D40" s="56" t="s">
        <v>1</v>
      </c>
      <c r="E40" s="41">
        <f>F36</f>
        <v>0</v>
      </c>
      <c r="F40" s="53"/>
      <c r="G40" s="54"/>
      <c r="H40" s="35"/>
      <c r="L40" s="1">
        <v>23189020.010000002</v>
      </c>
    </row>
    <row r="41" spans="2:12" ht="20.399999999999999" x14ac:dyDescent="0.5">
      <c r="B41" s="34"/>
      <c r="C41" s="55" t="s">
        <v>18</v>
      </c>
      <c r="D41" s="56" t="s">
        <v>1</v>
      </c>
      <c r="E41" s="57" t="s">
        <v>19</v>
      </c>
      <c r="F41" s="53"/>
      <c r="G41" s="54"/>
      <c r="H41" s="35"/>
      <c r="L41" s="108"/>
    </row>
    <row r="42" spans="2:12" ht="20.399999999999999" x14ac:dyDescent="0.5">
      <c r="B42" s="34"/>
      <c r="C42" s="58" t="s">
        <v>20</v>
      </c>
      <c r="D42" s="59" t="s">
        <v>1</v>
      </c>
      <c r="E42" s="60" t="s">
        <v>55</v>
      </c>
      <c r="F42" s="114" t="s">
        <v>26</v>
      </c>
      <c r="G42" s="115"/>
      <c r="H42" s="35"/>
      <c r="L42" s="109"/>
    </row>
    <row r="43" spans="2:12" ht="6" customHeight="1" x14ac:dyDescent="0.45">
      <c r="B43" s="36"/>
      <c r="C43" s="27"/>
      <c r="D43" s="27"/>
      <c r="E43" s="27"/>
      <c r="F43" s="27"/>
      <c r="G43" s="27"/>
      <c r="H43" s="37"/>
    </row>
    <row r="44" spans="2:12" ht="18.600000000000001" x14ac:dyDescent="0.45">
      <c r="C44" s="2"/>
      <c r="D44" s="2"/>
      <c r="E44" s="2"/>
      <c r="F44" s="2"/>
      <c r="G44" s="2"/>
    </row>
    <row r="45" spans="2:12" ht="19.8" x14ac:dyDescent="0.45">
      <c r="C45" s="12" t="s">
        <v>21</v>
      </c>
      <c r="D45" s="13"/>
      <c r="E45" s="14"/>
      <c r="F45" s="15"/>
      <c r="G45" s="2"/>
    </row>
    <row r="46" spans="2:12" ht="19.8" x14ac:dyDescent="0.35">
      <c r="C46" s="12"/>
      <c r="D46" s="13"/>
      <c r="E46" s="14"/>
      <c r="F46" s="16" t="s">
        <v>22</v>
      </c>
      <c r="G46" s="17">
        <v>15000000</v>
      </c>
    </row>
    <row r="47" spans="2:12" ht="19.8" x14ac:dyDescent="0.35">
      <c r="C47" s="12" t="s">
        <v>23</v>
      </c>
      <c r="D47" s="13"/>
      <c r="E47" s="14">
        <v>32343715823.98</v>
      </c>
      <c r="F47" s="18" t="s">
        <v>24</v>
      </c>
      <c r="G47" s="19"/>
    </row>
    <row r="48" spans="2:12" ht="19.8" x14ac:dyDescent="0.35">
      <c r="C48" s="20">
        <v>0.01</v>
      </c>
      <c r="D48" s="13"/>
      <c r="E48" s="14">
        <f>E47*C48</f>
        <v>323437158.23979998</v>
      </c>
      <c r="F48" s="18" t="s">
        <v>25</v>
      </c>
      <c r="G48" s="21"/>
    </row>
    <row r="49" spans="3:7" ht="18.600000000000001" x14ac:dyDescent="0.45">
      <c r="C49" s="2"/>
      <c r="D49" s="2"/>
      <c r="E49" s="2"/>
      <c r="F49" s="2"/>
      <c r="G49" s="2"/>
    </row>
    <row r="50" spans="3:7" ht="18.600000000000001" x14ac:dyDescent="0.45">
      <c r="C50" s="2"/>
      <c r="D50" s="2"/>
      <c r="E50" s="2"/>
      <c r="F50" s="2"/>
      <c r="G50" s="2"/>
    </row>
  </sheetData>
  <mergeCells count="24"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F42:G42"/>
    <mergeCell ref="D21:E21"/>
    <mergeCell ref="D23:E23"/>
    <mergeCell ref="D27:E27"/>
    <mergeCell ref="D29:E29"/>
    <mergeCell ref="D30:E30"/>
    <mergeCell ref="D22:E22"/>
    <mergeCell ref="D31:E31"/>
    <mergeCell ref="D32:E32"/>
    <mergeCell ref="D34:E34"/>
    <mergeCell ref="D35:E35"/>
    <mergeCell ref="C38:E38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39BF-BED0-4550-8281-46F5B7A4D4C2}">
  <sheetPr>
    <pageSetUpPr fitToPage="1"/>
  </sheetPr>
  <dimension ref="B3:L50"/>
  <sheetViews>
    <sheetView tabSelected="1" view="pageBreakPreview" topLeftCell="A18" zoomScale="85" zoomScaleNormal="85" zoomScaleSheetLayoutView="85" workbookViewId="0">
      <selection activeCell="G30" sqref="G30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4.5546875" style="1" customWidth="1"/>
    <col min="9" max="11" width="8.88671875" style="1"/>
    <col min="12" max="12" width="21.441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31"/>
      <c r="C3" s="32"/>
      <c r="D3" s="32"/>
      <c r="E3" s="32"/>
      <c r="F3" s="32"/>
      <c r="G3" s="32"/>
      <c r="H3" s="33"/>
    </row>
    <row r="4" spans="2:8" ht="21" x14ac:dyDescent="0.5">
      <c r="B4" s="34"/>
      <c r="C4" s="6" t="s">
        <v>0</v>
      </c>
      <c r="D4" s="8" t="s">
        <v>1</v>
      </c>
      <c r="E4" s="3" t="s">
        <v>212</v>
      </c>
      <c r="F4" s="6" t="s">
        <v>2</v>
      </c>
      <c r="G4" s="24">
        <f>+E48</f>
        <v>323437158.23979998</v>
      </c>
      <c r="H4" s="35"/>
    </row>
    <row r="5" spans="2:8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F38</f>
        <v>820431051.98999989</v>
      </c>
      <c r="H5" s="35"/>
    </row>
    <row r="6" spans="2:8" ht="21" x14ac:dyDescent="0.5">
      <c r="B6" s="34"/>
      <c r="C6" s="7" t="s">
        <v>3</v>
      </c>
      <c r="D6" s="9" t="s">
        <v>1</v>
      </c>
      <c r="E6" s="4" t="s">
        <v>213</v>
      </c>
      <c r="F6" s="7" t="s">
        <v>5</v>
      </c>
      <c r="G6" s="25">
        <f>G4-G5</f>
        <v>-496993893.75019991</v>
      </c>
      <c r="H6" s="35"/>
    </row>
    <row r="7" spans="2:8" ht="21" x14ac:dyDescent="0.5">
      <c r="B7" s="34"/>
      <c r="C7" s="10"/>
      <c r="D7" s="11"/>
      <c r="E7" s="11"/>
      <c r="F7" s="42" t="s">
        <v>6</v>
      </c>
      <c r="G7" s="26">
        <f>G6/G4</f>
        <v>-1.5366011019108787</v>
      </c>
      <c r="H7" s="35"/>
    </row>
    <row r="8" spans="2:8" ht="6" customHeight="1" x14ac:dyDescent="0.35">
      <c r="B8" s="34"/>
      <c r="H8" s="35"/>
    </row>
    <row r="9" spans="2:8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8" ht="7.8" customHeight="1" x14ac:dyDescent="0.45">
      <c r="B10" s="34"/>
      <c r="C10" s="48"/>
      <c r="D10" s="127"/>
      <c r="E10" s="127"/>
      <c r="F10" s="46"/>
      <c r="G10" s="47"/>
      <c r="H10" s="35"/>
    </row>
    <row r="11" spans="2:8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8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8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8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8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8" ht="20.399999999999999" x14ac:dyDescent="0.5">
      <c r="B16" s="34"/>
      <c r="C16" s="87" t="s">
        <v>109</v>
      </c>
      <c r="D16" s="133" t="s">
        <v>110</v>
      </c>
      <c r="E16" s="128"/>
      <c r="F16" s="97">
        <f>LK.7!F28+LK.8!F29</f>
        <v>66270549.899999999</v>
      </c>
      <c r="G16" s="52"/>
      <c r="H16" s="35"/>
    </row>
    <row r="17" spans="2:12" ht="20.399999999999999" x14ac:dyDescent="0.5">
      <c r="B17" s="34"/>
      <c r="C17" s="87" t="s">
        <v>125</v>
      </c>
      <c r="D17" s="133" t="s">
        <v>143</v>
      </c>
      <c r="E17" s="128"/>
      <c r="F17" s="97">
        <f>+LK.9!F31+LK.10!F30</f>
        <v>95353126</v>
      </c>
      <c r="G17" s="52"/>
      <c r="H17" s="35"/>
    </row>
    <row r="18" spans="2:12" ht="20.399999999999999" x14ac:dyDescent="0.5">
      <c r="B18" s="34"/>
      <c r="C18" s="87" t="s">
        <v>141</v>
      </c>
      <c r="D18" s="133" t="s">
        <v>142</v>
      </c>
      <c r="E18" s="128"/>
      <c r="F18" s="97">
        <f>+LK.11!F30+LK.12!F31</f>
        <v>26139065</v>
      </c>
      <c r="G18" s="52"/>
      <c r="H18" s="35"/>
    </row>
    <row r="19" spans="2:12" ht="20.399999999999999" x14ac:dyDescent="0.5">
      <c r="B19" s="34"/>
      <c r="C19" s="87" t="s">
        <v>155</v>
      </c>
      <c r="D19" s="133" t="s">
        <v>156</v>
      </c>
      <c r="E19" s="128"/>
      <c r="F19" s="97">
        <f>+LK.13!F30+LK.14!F31</f>
        <v>24398044.800000001</v>
      </c>
      <c r="G19" s="52"/>
      <c r="H19" s="35"/>
      <c r="L19" s="1">
        <v>757336915</v>
      </c>
    </row>
    <row r="20" spans="2:12" ht="20.399999999999999" x14ac:dyDescent="0.5">
      <c r="B20" s="34"/>
      <c r="C20" s="87" t="s">
        <v>171</v>
      </c>
      <c r="D20" s="133" t="s">
        <v>172</v>
      </c>
      <c r="E20" s="128"/>
      <c r="F20" s="97">
        <f>+LK.15!F31+LK.16!F33</f>
        <v>53220790</v>
      </c>
      <c r="G20" s="52"/>
      <c r="H20" s="35"/>
      <c r="L20" s="1">
        <v>73300560.010000005</v>
      </c>
    </row>
    <row r="21" spans="2:12" ht="20.399999999999999" x14ac:dyDescent="0.5">
      <c r="B21" s="34"/>
      <c r="C21" s="87" t="s">
        <v>187</v>
      </c>
      <c r="D21" s="133" t="s">
        <v>188</v>
      </c>
      <c r="E21" s="128"/>
      <c r="F21" s="97">
        <f>+LK.17!F32+LK.18!F33</f>
        <v>31901522</v>
      </c>
      <c r="G21" s="52"/>
      <c r="H21" s="35"/>
    </row>
    <row r="22" spans="2:12" ht="21.6" x14ac:dyDescent="0.55000000000000004">
      <c r="B22" s="34"/>
      <c r="C22" s="87" t="s">
        <v>200</v>
      </c>
      <c r="D22" s="133" t="s">
        <v>201</v>
      </c>
      <c r="E22" s="128"/>
      <c r="F22" s="97">
        <f>+LK.19!F33+LK.20!F34</f>
        <v>23940600</v>
      </c>
      <c r="G22" s="52"/>
      <c r="H22" s="35"/>
    </row>
    <row r="23" spans="2:12" ht="21.6" x14ac:dyDescent="0.55000000000000004">
      <c r="B23" s="34"/>
      <c r="C23" s="87" t="s">
        <v>214</v>
      </c>
      <c r="D23" s="133" t="s">
        <v>215</v>
      </c>
      <c r="E23" s="128"/>
      <c r="F23" s="97">
        <f>+LK.21!F35+LK.22!F35</f>
        <v>59055600</v>
      </c>
      <c r="G23" s="47"/>
      <c r="H23" s="35"/>
      <c r="L23" s="104">
        <f>17849500+25450239.99+2940600+28759660.01</f>
        <v>75000000</v>
      </c>
    </row>
    <row r="24" spans="2:12" ht="5.4" customHeight="1" thickBot="1" x14ac:dyDescent="0.55000000000000004">
      <c r="B24" s="34"/>
      <c r="C24" s="65"/>
      <c r="D24" s="88"/>
      <c r="E24" s="88"/>
      <c r="F24" s="89"/>
      <c r="G24" s="64"/>
      <c r="H24" s="35"/>
    </row>
    <row r="25" spans="2:12" ht="21.6" thickTop="1" thickBot="1" x14ac:dyDescent="0.55000000000000004">
      <c r="B25" s="34"/>
      <c r="C25" s="40"/>
      <c r="D25" s="29"/>
      <c r="E25" s="61" t="s">
        <v>14</v>
      </c>
      <c r="F25" s="62">
        <f>SUM(F12:F23)</f>
        <v>812331051.98999989</v>
      </c>
      <c r="G25" s="63">
        <f>G4-F25</f>
        <v>-488893893.75019991</v>
      </c>
      <c r="H25" s="35"/>
      <c r="L25" s="104" t="e">
        <f>672336915+11398217.99+#REF!</f>
        <v>#REF!</v>
      </c>
    </row>
    <row r="26" spans="2:12" ht="5.4" customHeight="1" thickTop="1" x14ac:dyDescent="0.5">
      <c r="B26" s="34"/>
      <c r="C26" s="68"/>
      <c r="D26" s="38"/>
      <c r="E26" s="69"/>
      <c r="F26" s="70"/>
      <c r="G26" s="71"/>
      <c r="H26" s="35"/>
    </row>
    <row r="27" spans="2:12" ht="21" x14ac:dyDescent="0.5">
      <c r="B27" s="34"/>
      <c r="C27" s="84"/>
      <c r="D27" s="118" t="s">
        <v>28</v>
      </c>
      <c r="E27" s="119"/>
      <c r="F27" s="90">
        <v>0</v>
      </c>
      <c r="G27" s="75"/>
      <c r="H27" s="35"/>
    </row>
    <row r="28" spans="2:12" ht="6" customHeight="1" x14ac:dyDescent="0.5">
      <c r="B28" s="34"/>
      <c r="C28" s="84"/>
      <c r="D28" s="76"/>
      <c r="E28" s="77"/>
      <c r="F28" s="90"/>
      <c r="G28" s="75"/>
      <c r="H28" s="35"/>
    </row>
    <row r="29" spans="2:12" ht="20.399999999999999" x14ac:dyDescent="0.5">
      <c r="B29" s="34"/>
      <c r="C29" s="67" t="s">
        <v>12</v>
      </c>
      <c r="D29" s="120" t="s">
        <v>27</v>
      </c>
      <c r="E29" s="121"/>
      <c r="F29" s="79" t="s">
        <v>29</v>
      </c>
      <c r="G29" s="72" t="s">
        <v>30</v>
      </c>
      <c r="H29" s="35"/>
      <c r="L29" s="105">
        <f>264666902+35000000+50000000+35000000+50985790+60000000+22500000+17599900+9700717+10000000+10000000+15941803</f>
        <v>581395112</v>
      </c>
    </row>
    <row r="30" spans="2:12" ht="19.8" x14ac:dyDescent="0.45">
      <c r="B30" s="34"/>
      <c r="C30" s="103"/>
      <c r="D30" s="122" t="s">
        <v>210</v>
      </c>
      <c r="E30" s="123"/>
      <c r="F30" s="94">
        <v>0</v>
      </c>
      <c r="G30" s="95">
        <v>0</v>
      </c>
      <c r="H30" s="35"/>
      <c r="L30" s="105">
        <f>2940600</f>
        <v>2940600</v>
      </c>
    </row>
    <row r="31" spans="2:12" ht="19.8" customHeight="1" x14ac:dyDescent="0.45">
      <c r="B31" s="34"/>
      <c r="C31" s="85">
        <v>44938</v>
      </c>
      <c r="D31" s="134" t="s">
        <v>217</v>
      </c>
      <c r="E31" s="135"/>
      <c r="F31" s="94">
        <v>8100000</v>
      </c>
      <c r="G31" s="95" t="s">
        <v>218</v>
      </c>
      <c r="H31" s="35"/>
      <c r="L31" s="110"/>
    </row>
    <row r="32" spans="2:12" ht="19.8" customHeight="1" x14ac:dyDescent="0.45">
      <c r="B32" s="34"/>
      <c r="C32" s="85"/>
      <c r="D32" s="134"/>
      <c r="E32" s="135"/>
      <c r="F32" s="94"/>
      <c r="G32" s="95"/>
      <c r="H32" s="35"/>
      <c r="L32" s="105">
        <v>31700260.010000002</v>
      </c>
    </row>
    <row r="33" spans="2:12" ht="7.8" customHeight="1" x14ac:dyDescent="0.5">
      <c r="B33" s="34"/>
      <c r="C33" s="85"/>
      <c r="D33" s="66"/>
      <c r="E33" s="82"/>
      <c r="F33" s="92"/>
      <c r="G33" s="93"/>
      <c r="H33" s="35"/>
      <c r="L33" s="39"/>
    </row>
    <row r="34" spans="2:12" ht="19.2" customHeight="1" x14ac:dyDescent="0.5">
      <c r="B34" s="34"/>
      <c r="C34" s="67" t="s">
        <v>12</v>
      </c>
      <c r="D34" s="124" t="s">
        <v>32</v>
      </c>
      <c r="E34" s="121"/>
      <c r="F34" s="79"/>
      <c r="G34" s="73"/>
      <c r="H34" s="35"/>
      <c r="L34" s="111">
        <v>33704060.009999998</v>
      </c>
    </row>
    <row r="35" spans="2:12" ht="21" x14ac:dyDescent="0.5">
      <c r="B35" s="34"/>
      <c r="C35" s="85">
        <v>45183</v>
      </c>
      <c r="D35" s="130" t="s">
        <v>216</v>
      </c>
      <c r="E35" s="131"/>
      <c r="F35" s="80">
        <v>8100000</v>
      </c>
      <c r="G35" s="74"/>
      <c r="H35" s="35"/>
    </row>
    <row r="36" spans="2:12" ht="21" x14ac:dyDescent="0.5">
      <c r="B36" s="34"/>
      <c r="C36" s="86"/>
      <c r="D36" s="43"/>
      <c r="E36" s="83" t="s">
        <v>13</v>
      </c>
      <c r="F36" s="81">
        <f>F35-SUM(F30:F32)</f>
        <v>0</v>
      </c>
      <c r="G36" s="44"/>
      <c r="H36" s="35"/>
      <c r="L36" s="1">
        <v>8785214.7100000009</v>
      </c>
    </row>
    <row r="37" spans="2:12" ht="10.199999999999999" customHeight="1" thickBot="1" x14ac:dyDescent="0.5">
      <c r="B37" s="34"/>
      <c r="C37" s="30"/>
      <c r="D37" s="29"/>
      <c r="E37" s="29"/>
      <c r="F37" s="29"/>
      <c r="G37" s="28"/>
      <c r="H37" s="35"/>
    </row>
    <row r="38" spans="2:12" ht="21" thickTop="1" x14ac:dyDescent="0.5">
      <c r="B38" s="34"/>
      <c r="C38" s="112" t="s">
        <v>15</v>
      </c>
      <c r="D38" s="113"/>
      <c r="E38" s="113"/>
      <c r="F38" s="49">
        <f>F25+F35</f>
        <v>820431051.98999989</v>
      </c>
      <c r="G38" s="50">
        <f>G4-F38</f>
        <v>-496993893.75019991</v>
      </c>
      <c r="H38" s="35"/>
      <c r="L38" s="101">
        <v>26970387.809999999</v>
      </c>
    </row>
    <row r="39" spans="2:12" ht="20.399999999999999" x14ac:dyDescent="0.5">
      <c r="B39" s="34"/>
      <c r="C39" s="51" t="s">
        <v>16</v>
      </c>
      <c r="D39" s="45"/>
      <c r="E39" s="52"/>
      <c r="F39" s="53"/>
      <c r="G39" s="54"/>
      <c r="H39" s="35"/>
    </row>
    <row r="40" spans="2:12" ht="21" x14ac:dyDescent="0.5">
      <c r="B40" s="34"/>
      <c r="C40" s="55" t="s">
        <v>17</v>
      </c>
      <c r="D40" s="56" t="s">
        <v>1</v>
      </c>
      <c r="E40" s="41">
        <f>F36</f>
        <v>0</v>
      </c>
      <c r="F40" s="53"/>
      <c r="G40" s="54"/>
      <c r="H40" s="35"/>
      <c r="L40" s="1">
        <v>23189020.010000002</v>
      </c>
    </row>
    <row r="41" spans="2:12" ht="20.399999999999999" x14ac:dyDescent="0.5">
      <c r="B41" s="34"/>
      <c r="C41" s="55" t="s">
        <v>18</v>
      </c>
      <c r="D41" s="56" t="s">
        <v>1</v>
      </c>
      <c r="E41" s="57" t="s">
        <v>19</v>
      </c>
      <c r="F41" s="53"/>
      <c r="G41" s="54"/>
      <c r="H41" s="35"/>
      <c r="L41" s="108"/>
    </row>
    <row r="42" spans="2:12" ht="20.399999999999999" x14ac:dyDescent="0.5">
      <c r="B42" s="34"/>
      <c r="C42" s="58" t="s">
        <v>20</v>
      </c>
      <c r="D42" s="59" t="s">
        <v>1</v>
      </c>
      <c r="E42" s="60" t="s">
        <v>55</v>
      </c>
      <c r="F42" s="114" t="s">
        <v>26</v>
      </c>
      <c r="G42" s="115"/>
      <c r="H42" s="35"/>
      <c r="L42" s="109"/>
    </row>
    <row r="43" spans="2:12" ht="6" customHeight="1" x14ac:dyDescent="0.45">
      <c r="B43" s="36"/>
      <c r="C43" s="27"/>
      <c r="D43" s="27"/>
      <c r="E43" s="27"/>
      <c r="F43" s="27"/>
      <c r="G43" s="27"/>
      <c r="H43" s="37"/>
    </row>
    <row r="44" spans="2:12" ht="18.600000000000001" x14ac:dyDescent="0.45">
      <c r="C44" s="2"/>
      <c r="D44" s="2"/>
      <c r="E44" s="2"/>
      <c r="F44" s="2"/>
      <c r="G44" s="2"/>
    </row>
    <row r="45" spans="2:12" ht="19.8" x14ac:dyDescent="0.45">
      <c r="C45" s="12" t="s">
        <v>21</v>
      </c>
      <c r="D45" s="13"/>
      <c r="E45" s="14"/>
      <c r="F45" s="15"/>
      <c r="G45" s="2"/>
    </row>
    <row r="46" spans="2:12" ht="19.8" x14ac:dyDescent="0.35">
      <c r="C46" s="12"/>
      <c r="D46" s="13"/>
      <c r="E46" s="14"/>
      <c r="F46" s="16" t="s">
        <v>22</v>
      </c>
      <c r="G46" s="17">
        <v>15000000</v>
      </c>
    </row>
    <row r="47" spans="2:12" ht="19.8" x14ac:dyDescent="0.35">
      <c r="C47" s="12" t="s">
        <v>23</v>
      </c>
      <c r="D47" s="13"/>
      <c r="E47" s="14">
        <v>32343715823.98</v>
      </c>
      <c r="F47" s="18" t="s">
        <v>24</v>
      </c>
      <c r="G47" s="19"/>
    </row>
    <row r="48" spans="2:12" ht="19.8" x14ac:dyDescent="0.35">
      <c r="C48" s="20">
        <v>0.01</v>
      </c>
      <c r="D48" s="13"/>
      <c r="E48" s="14">
        <f>E47*C48</f>
        <v>323437158.23979998</v>
      </c>
      <c r="F48" s="18" t="s">
        <v>25</v>
      </c>
      <c r="G48" s="21"/>
    </row>
    <row r="49" spans="3:7" ht="18.600000000000001" x14ac:dyDescent="0.45">
      <c r="C49" s="2"/>
      <c r="D49" s="2"/>
      <c r="E49" s="2"/>
      <c r="F49" s="2"/>
      <c r="G49" s="2"/>
    </row>
    <row r="50" spans="3:7" ht="18.600000000000001" x14ac:dyDescent="0.45">
      <c r="C50" s="2"/>
      <c r="D50" s="2"/>
      <c r="E50" s="2"/>
      <c r="F50" s="2"/>
      <c r="G50" s="2"/>
    </row>
  </sheetData>
  <mergeCells count="24">
    <mergeCell ref="D31:E31"/>
    <mergeCell ref="D32:E32"/>
    <mergeCell ref="D34:E34"/>
    <mergeCell ref="D35:E35"/>
    <mergeCell ref="C38:E38"/>
    <mergeCell ref="F42:G42"/>
    <mergeCell ref="D21:E21"/>
    <mergeCell ref="D22:E22"/>
    <mergeCell ref="D23:E23"/>
    <mergeCell ref="D27:E27"/>
    <mergeCell ref="D29:E29"/>
    <mergeCell ref="D30:E30"/>
    <mergeCell ref="D15:E15"/>
    <mergeCell ref="D16:E16"/>
    <mergeCell ref="D17:E17"/>
    <mergeCell ref="D18:E18"/>
    <mergeCell ref="D19:E19"/>
    <mergeCell ref="D20:E20"/>
    <mergeCell ref="C9:E9"/>
    <mergeCell ref="D10:E10"/>
    <mergeCell ref="D11:E11"/>
    <mergeCell ref="D12:E12"/>
    <mergeCell ref="D13:E13"/>
    <mergeCell ref="D14:E14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0E5B-A781-499E-83E5-C6647B3CD691}">
  <sheetPr>
    <pageSetUpPr fitToPage="1"/>
  </sheetPr>
  <dimension ref="B3:L42"/>
  <sheetViews>
    <sheetView view="pageBreakPreview" topLeftCell="A9" zoomScale="85" zoomScaleNormal="85" zoomScaleSheetLayoutView="85" workbookViewId="0">
      <selection activeCell="F27" sqref="F2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56</v>
      </c>
      <c r="F4" s="6" t="s">
        <v>2</v>
      </c>
      <c r="G4" s="24">
        <f>+E40</f>
        <v>323437158.23979998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F30</f>
        <v>238471738.88999999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57</v>
      </c>
      <c r="F6" s="7" t="s">
        <v>5</v>
      </c>
      <c r="G6" s="25">
        <f>G4-G5</f>
        <v>84965419.349799991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0.26269529392416213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8"/>
      <c r="D10" s="127"/>
      <c r="E10" s="127"/>
      <c r="F10" s="46"/>
      <c r="G10" s="47"/>
      <c r="H10" s="35"/>
    </row>
    <row r="11" spans="2:12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12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12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12" ht="20.399999999999999" x14ac:dyDescent="0.5">
      <c r="B14" s="34"/>
      <c r="C14" s="87"/>
      <c r="D14" s="133"/>
      <c r="E14" s="128"/>
      <c r="F14" s="97"/>
      <c r="G14" s="47"/>
      <c r="H14" s="35"/>
      <c r="L14" s="104">
        <f>45000000-F24</f>
        <v>25835163.109999999</v>
      </c>
    </row>
    <row r="15" spans="2:12" ht="5.4" customHeight="1" thickBot="1" x14ac:dyDescent="0.55000000000000004">
      <c r="B15" s="34"/>
      <c r="C15" s="65"/>
      <c r="D15" s="88"/>
      <c r="E15" s="88"/>
      <c r="F15" s="89"/>
      <c r="G15" s="64"/>
      <c r="H15" s="35"/>
    </row>
    <row r="16" spans="2:12" ht="21.6" thickTop="1" thickBot="1" x14ac:dyDescent="0.55000000000000004">
      <c r="B16" s="34"/>
      <c r="C16" s="40"/>
      <c r="D16" s="29"/>
      <c r="E16" s="61" t="s">
        <v>14</v>
      </c>
      <c r="F16" s="62">
        <f>SUM(F12:F14)</f>
        <v>184609665.38999999</v>
      </c>
      <c r="G16" s="63">
        <f>G4-F16</f>
        <v>138827492.84979999</v>
      </c>
      <c r="H16" s="35"/>
    </row>
    <row r="17" spans="2:12" ht="5.4" customHeight="1" thickTop="1" x14ac:dyDescent="0.5">
      <c r="B17" s="34"/>
      <c r="C17" s="68"/>
      <c r="D17" s="38"/>
      <c r="E17" s="69"/>
      <c r="F17" s="70"/>
      <c r="G17" s="71"/>
      <c r="H17" s="35"/>
    </row>
    <row r="18" spans="2:12" ht="21" x14ac:dyDescent="0.5">
      <c r="B18" s="34"/>
      <c r="C18" s="84"/>
      <c r="D18" s="118" t="s">
        <v>28</v>
      </c>
      <c r="E18" s="119"/>
      <c r="F18" s="90">
        <v>0</v>
      </c>
      <c r="G18" s="75"/>
      <c r="H18" s="35"/>
    </row>
    <row r="19" spans="2:12" ht="6" customHeight="1" x14ac:dyDescent="0.5">
      <c r="B19" s="34"/>
      <c r="C19" s="84"/>
      <c r="D19" s="76"/>
      <c r="E19" s="77"/>
      <c r="F19" s="90"/>
      <c r="G19" s="75"/>
      <c r="H19" s="35"/>
    </row>
    <row r="20" spans="2:12" ht="20.399999999999999" x14ac:dyDescent="0.5">
      <c r="B20" s="34"/>
      <c r="C20" s="67" t="s">
        <v>12</v>
      </c>
      <c r="D20" s="120" t="s">
        <v>27</v>
      </c>
      <c r="E20" s="121"/>
      <c r="F20" s="79" t="s">
        <v>29</v>
      </c>
      <c r="G20" s="72" t="s">
        <v>30</v>
      </c>
      <c r="H20" s="35"/>
      <c r="L20" s="1">
        <f>154318102+12956100+5000000</f>
        <v>172274202</v>
      </c>
    </row>
    <row r="21" spans="2:12" ht="19.8" x14ac:dyDescent="0.45">
      <c r="B21" s="34"/>
      <c r="C21" s="103"/>
      <c r="D21" s="122" t="s">
        <v>61</v>
      </c>
      <c r="E21" s="123"/>
      <c r="F21" s="94">
        <v>0</v>
      </c>
      <c r="G21" s="95">
        <v>0</v>
      </c>
      <c r="H21" s="35"/>
    </row>
    <row r="22" spans="2:12" ht="19.8" x14ac:dyDescent="0.45">
      <c r="B22" s="34"/>
      <c r="C22" s="85">
        <v>44852</v>
      </c>
      <c r="D22" s="132" t="s">
        <v>60</v>
      </c>
      <c r="E22" s="117"/>
      <c r="F22" s="96">
        <v>14697236.609999999</v>
      </c>
      <c r="G22" s="95">
        <v>0</v>
      </c>
      <c r="H22" s="35"/>
    </row>
    <row r="23" spans="2:12" ht="19.8" x14ac:dyDescent="0.45">
      <c r="B23" s="34"/>
      <c r="C23" s="85" t="s">
        <v>64</v>
      </c>
      <c r="D23" s="134" t="s">
        <v>62</v>
      </c>
      <c r="E23" s="135"/>
      <c r="F23" s="94">
        <v>20000000</v>
      </c>
      <c r="G23" s="95">
        <v>0</v>
      </c>
      <c r="H23" s="35"/>
    </row>
    <row r="24" spans="2:12" ht="19.8" customHeight="1" x14ac:dyDescent="0.45">
      <c r="B24" s="34"/>
      <c r="C24" s="85">
        <v>44794</v>
      </c>
      <c r="D24" s="134" t="s">
        <v>63</v>
      </c>
      <c r="E24" s="135"/>
      <c r="F24" s="94">
        <v>19164836.890000001</v>
      </c>
      <c r="G24" s="95">
        <v>25835163.109999999</v>
      </c>
      <c r="H24" s="35"/>
      <c r="L24" s="1">
        <f>17000000-13581171.75</f>
        <v>3418828.25</v>
      </c>
    </row>
    <row r="25" spans="2:12" ht="7.8" customHeight="1" x14ac:dyDescent="0.5">
      <c r="B25" s="34"/>
      <c r="C25" s="85"/>
      <c r="D25" s="66"/>
      <c r="E25" s="82"/>
      <c r="F25" s="92"/>
      <c r="G25" s="93"/>
      <c r="H25" s="35"/>
      <c r="L25" s="39"/>
    </row>
    <row r="26" spans="2:12" ht="19.2" customHeight="1" x14ac:dyDescent="0.5">
      <c r="B26" s="34"/>
      <c r="C26" s="67" t="s">
        <v>12</v>
      </c>
      <c r="D26" s="124" t="s">
        <v>32</v>
      </c>
      <c r="E26" s="121"/>
      <c r="F26" s="79"/>
      <c r="G26" s="73"/>
      <c r="H26" s="35"/>
      <c r="L26" s="39"/>
    </row>
    <row r="27" spans="2:12" ht="21" x14ac:dyDescent="0.5">
      <c r="B27" s="34"/>
      <c r="C27" s="85">
        <v>44909</v>
      </c>
      <c r="D27" s="130" t="s">
        <v>71</v>
      </c>
      <c r="E27" s="131"/>
      <c r="F27" s="80">
        <v>53862073.5</v>
      </c>
      <c r="G27" s="74"/>
      <c r="H27" s="35"/>
      <c r="L27" s="1">
        <f>114500000+14000000</f>
        <v>128500000</v>
      </c>
    </row>
    <row r="28" spans="2:12" ht="21" x14ac:dyDescent="0.5">
      <c r="B28" s="34"/>
      <c r="C28" s="86"/>
      <c r="D28" s="43"/>
      <c r="E28" s="83" t="s">
        <v>13</v>
      </c>
      <c r="F28" s="81">
        <f>F27-SUM(F21:F24)</f>
        <v>0</v>
      </c>
      <c r="G28" s="44"/>
      <c r="H28" s="35"/>
    </row>
    <row r="29" spans="2:12" ht="10.199999999999999" customHeight="1" thickBot="1" x14ac:dyDescent="0.5">
      <c r="B29" s="34"/>
      <c r="C29" s="30"/>
      <c r="D29" s="29"/>
      <c r="E29" s="29"/>
      <c r="F29" s="29"/>
      <c r="G29" s="28"/>
      <c r="H29" s="35"/>
    </row>
    <row r="30" spans="2:12" ht="21" thickTop="1" x14ac:dyDescent="0.5">
      <c r="B30" s="34"/>
      <c r="C30" s="112" t="s">
        <v>15</v>
      </c>
      <c r="D30" s="113"/>
      <c r="E30" s="113"/>
      <c r="F30" s="49">
        <f>F16+F27</f>
        <v>238471738.88999999</v>
      </c>
      <c r="G30" s="50">
        <f>G4-F30</f>
        <v>84965419.349799991</v>
      </c>
      <c r="H30" s="35"/>
      <c r="L30" s="101">
        <f>6541000+6150071.75</f>
        <v>12691071.75</v>
      </c>
    </row>
    <row r="31" spans="2:12" ht="20.399999999999999" x14ac:dyDescent="0.5">
      <c r="B31" s="34"/>
      <c r="C31" s="51" t="s">
        <v>16</v>
      </c>
      <c r="D31" s="45"/>
      <c r="E31" s="52"/>
      <c r="F31" s="53"/>
      <c r="G31" s="54"/>
      <c r="H31" s="35"/>
    </row>
    <row r="32" spans="2:12" ht="21" x14ac:dyDescent="0.5">
      <c r="B32" s="34"/>
      <c r="C32" s="55" t="s">
        <v>17</v>
      </c>
      <c r="D32" s="56" t="s">
        <v>1</v>
      </c>
      <c r="E32" s="41">
        <f>F28</f>
        <v>0</v>
      </c>
      <c r="F32" s="53"/>
      <c r="G32" s="54"/>
      <c r="H32" s="35"/>
    </row>
    <row r="33" spans="2:8" ht="20.399999999999999" x14ac:dyDescent="0.5">
      <c r="B33" s="34"/>
      <c r="C33" s="55" t="s">
        <v>18</v>
      </c>
      <c r="D33" s="56" t="s">
        <v>1</v>
      </c>
      <c r="E33" s="57" t="s">
        <v>19</v>
      </c>
      <c r="F33" s="53"/>
      <c r="G33" s="54"/>
      <c r="H33" s="35"/>
    </row>
    <row r="34" spans="2:8" ht="20.399999999999999" x14ac:dyDescent="0.5">
      <c r="B34" s="34"/>
      <c r="C34" s="58" t="s">
        <v>20</v>
      </c>
      <c r="D34" s="59" t="s">
        <v>1</v>
      </c>
      <c r="E34" s="60" t="s">
        <v>55</v>
      </c>
      <c r="F34" s="114" t="s">
        <v>26</v>
      </c>
      <c r="G34" s="115"/>
      <c r="H34" s="35"/>
    </row>
    <row r="35" spans="2:8" ht="6" customHeight="1" x14ac:dyDescent="0.45">
      <c r="B35" s="36"/>
      <c r="C35" s="27"/>
      <c r="D35" s="27"/>
      <c r="E35" s="27"/>
      <c r="F35" s="27"/>
      <c r="G35" s="27"/>
      <c r="H35" s="37"/>
    </row>
    <row r="36" spans="2:8" ht="18.600000000000001" x14ac:dyDescent="0.45">
      <c r="C36" s="2"/>
      <c r="D36" s="2"/>
      <c r="E36" s="2"/>
      <c r="F36" s="2"/>
      <c r="G36" s="2"/>
    </row>
    <row r="37" spans="2:8" ht="19.8" x14ac:dyDescent="0.45">
      <c r="C37" s="12" t="s">
        <v>21</v>
      </c>
      <c r="D37" s="13"/>
      <c r="E37" s="14"/>
      <c r="F37" s="15"/>
      <c r="G37" s="2"/>
    </row>
    <row r="38" spans="2:8" ht="19.8" x14ac:dyDescent="0.35">
      <c r="C38" s="12"/>
      <c r="D38" s="13"/>
      <c r="E38" s="14"/>
      <c r="F38" s="16" t="s">
        <v>22</v>
      </c>
      <c r="G38" s="17">
        <v>15000000</v>
      </c>
    </row>
    <row r="39" spans="2:8" ht="19.8" x14ac:dyDescent="0.35">
      <c r="C39" s="12" t="s">
        <v>23</v>
      </c>
      <c r="D39" s="13"/>
      <c r="E39" s="14">
        <v>32343715823.98</v>
      </c>
      <c r="F39" s="18" t="s">
        <v>24</v>
      </c>
      <c r="G39" s="19"/>
    </row>
    <row r="40" spans="2:8" ht="19.8" x14ac:dyDescent="0.35">
      <c r="C40" s="20">
        <v>0.01</v>
      </c>
      <c r="D40" s="13"/>
      <c r="E40" s="14">
        <f>E39*C40</f>
        <v>323437158.23979998</v>
      </c>
      <c r="F40" s="18" t="s">
        <v>25</v>
      </c>
      <c r="G40" s="21"/>
    </row>
    <row r="41" spans="2:8" ht="18.600000000000001" x14ac:dyDescent="0.45">
      <c r="C41" s="2"/>
      <c r="D41" s="2"/>
      <c r="E41" s="2"/>
      <c r="F41" s="2"/>
      <c r="G41" s="2"/>
    </row>
    <row r="42" spans="2:8" ht="18.600000000000001" x14ac:dyDescent="0.45">
      <c r="C42" s="2"/>
      <c r="D42" s="2"/>
      <c r="E42" s="2"/>
      <c r="F42" s="2"/>
      <c r="G42" s="2"/>
    </row>
  </sheetData>
  <mergeCells count="16">
    <mergeCell ref="F34:G34"/>
    <mergeCell ref="D23:E23"/>
    <mergeCell ref="D20:E20"/>
    <mergeCell ref="D21:E21"/>
    <mergeCell ref="C9:E9"/>
    <mergeCell ref="D10:E10"/>
    <mergeCell ref="D11:E11"/>
    <mergeCell ref="D12:E12"/>
    <mergeCell ref="D14:E14"/>
    <mergeCell ref="D18:E18"/>
    <mergeCell ref="D13:E13"/>
    <mergeCell ref="D22:E22"/>
    <mergeCell ref="D24:E24"/>
    <mergeCell ref="D26:E26"/>
    <mergeCell ref="D27:E27"/>
    <mergeCell ref="C30:E30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6C0B-31B0-4E2E-A423-6F30621E3D6B}">
  <sheetPr>
    <pageSetUpPr fitToPage="1"/>
  </sheetPr>
  <dimension ref="B3:L42"/>
  <sheetViews>
    <sheetView view="pageBreakPreview" topLeftCell="A11" zoomScale="85" zoomScaleNormal="85" zoomScaleSheetLayoutView="85" workbookViewId="0">
      <selection activeCell="E38" sqref="E38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65</v>
      </c>
      <c r="F4" s="6" t="s">
        <v>2</v>
      </c>
      <c r="G4" s="24">
        <f>+E40</f>
        <v>323437158.23979998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F30</f>
        <v>287918707.28999996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72</v>
      </c>
      <c r="F6" s="7" t="s">
        <v>5</v>
      </c>
      <c r="G6" s="25">
        <f>G4-G5</f>
        <v>35518450.949800014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0.1098156165577804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8"/>
      <c r="D10" s="127"/>
      <c r="E10" s="127"/>
      <c r="F10" s="46"/>
      <c r="G10" s="47"/>
      <c r="H10" s="35"/>
    </row>
    <row r="11" spans="2:12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12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12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12" ht="20.399999999999999" x14ac:dyDescent="0.5">
      <c r="B14" s="34"/>
      <c r="C14" s="87" t="s">
        <v>66</v>
      </c>
      <c r="D14" s="133" t="s">
        <v>67</v>
      </c>
      <c r="E14" s="128"/>
      <c r="F14" s="97">
        <f>LK.3!F27</f>
        <v>53862073.5</v>
      </c>
      <c r="G14" s="52"/>
      <c r="H14" s="35"/>
    </row>
    <row r="15" spans="2:12" ht="20.399999999999999" x14ac:dyDescent="0.5">
      <c r="B15" s="34"/>
      <c r="C15" s="87"/>
      <c r="D15" s="133"/>
      <c r="E15" s="128"/>
      <c r="F15" s="97"/>
      <c r="G15" s="47"/>
      <c r="H15" s="35"/>
      <c r="L15" s="104"/>
    </row>
    <row r="16" spans="2:12" ht="5.4" customHeight="1" thickBot="1" x14ac:dyDescent="0.55000000000000004">
      <c r="B16" s="34"/>
      <c r="C16" s="65"/>
      <c r="D16" s="88"/>
      <c r="E16" s="88"/>
      <c r="F16" s="89"/>
      <c r="G16" s="64"/>
      <c r="H16" s="35"/>
    </row>
    <row r="17" spans="2:12" ht="21.6" thickTop="1" thickBot="1" x14ac:dyDescent="0.55000000000000004">
      <c r="B17" s="34"/>
      <c r="C17" s="40"/>
      <c r="D17" s="29"/>
      <c r="E17" s="61" t="s">
        <v>14</v>
      </c>
      <c r="F17" s="62">
        <f>SUM(F12:F15)</f>
        <v>238471738.88999999</v>
      </c>
      <c r="G17" s="63">
        <f>G4-F17</f>
        <v>84965419.349799991</v>
      </c>
      <c r="H17" s="35"/>
    </row>
    <row r="18" spans="2:12" ht="5.4" customHeight="1" thickTop="1" x14ac:dyDescent="0.5">
      <c r="B18" s="34"/>
      <c r="C18" s="68"/>
      <c r="D18" s="38"/>
      <c r="E18" s="69"/>
      <c r="F18" s="70"/>
      <c r="G18" s="71"/>
      <c r="H18" s="35"/>
    </row>
    <row r="19" spans="2:12" ht="21" x14ac:dyDescent="0.5">
      <c r="B19" s="34"/>
      <c r="C19" s="84"/>
      <c r="D19" s="118" t="s">
        <v>28</v>
      </c>
      <c r="E19" s="119"/>
      <c r="F19" s="90">
        <v>0</v>
      </c>
      <c r="G19" s="75"/>
      <c r="H19" s="35"/>
      <c r="L19" s="1">
        <v>11388194.710000001</v>
      </c>
    </row>
    <row r="20" spans="2:12" ht="6" customHeight="1" x14ac:dyDescent="0.5">
      <c r="B20" s="34"/>
      <c r="C20" s="84"/>
      <c r="D20" s="76"/>
      <c r="E20" s="77"/>
      <c r="F20" s="90"/>
      <c r="G20" s="75"/>
      <c r="H20" s="35"/>
    </row>
    <row r="21" spans="2:12" ht="20.399999999999999" x14ac:dyDescent="0.5">
      <c r="B21" s="34"/>
      <c r="C21" s="67" t="s">
        <v>12</v>
      </c>
      <c r="D21" s="120" t="s">
        <v>27</v>
      </c>
      <c r="E21" s="121"/>
      <c r="F21" s="79" t="s">
        <v>29</v>
      </c>
      <c r="G21" s="72" t="s">
        <v>30</v>
      </c>
      <c r="H21" s="35"/>
    </row>
    <row r="22" spans="2:12" ht="19.8" x14ac:dyDescent="0.45">
      <c r="B22" s="34"/>
      <c r="C22" s="103"/>
      <c r="D22" s="122" t="s">
        <v>68</v>
      </c>
      <c r="E22" s="123"/>
      <c r="F22" s="94">
        <v>0</v>
      </c>
      <c r="G22" s="95">
        <v>0</v>
      </c>
      <c r="H22" s="35"/>
      <c r="L22" s="105">
        <v>12956100</v>
      </c>
    </row>
    <row r="23" spans="2:12" ht="19.8" x14ac:dyDescent="0.45">
      <c r="B23" s="34"/>
      <c r="C23" s="85">
        <v>44794</v>
      </c>
      <c r="D23" s="134" t="s">
        <v>69</v>
      </c>
      <c r="E23" s="135"/>
      <c r="F23" s="95">
        <v>25835163.109999999</v>
      </c>
      <c r="G23" s="95">
        <v>0</v>
      </c>
      <c r="H23" s="35"/>
      <c r="L23" s="105"/>
    </row>
    <row r="24" spans="2:12" ht="19.8" customHeight="1" x14ac:dyDescent="0.45">
      <c r="B24" s="34"/>
      <c r="C24" s="85">
        <v>44796</v>
      </c>
      <c r="D24" s="134" t="s">
        <v>70</v>
      </c>
      <c r="E24" s="135"/>
      <c r="F24" s="94">
        <v>23611805.289999999</v>
      </c>
      <c r="G24" s="95">
        <f>35000000-F24</f>
        <v>11388194.710000001</v>
      </c>
      <c r="H24" s="35"/>
      <c r="L24" s="106">
        <f>SUM(L22:L22)</f>
        <v>12956100</v>
      </c>
    </row>
    <row r="25" spans="2:12" ht="7.8" customHeight="1" x14ac:dyDescent="0.5">
      <c r="B25" s="34"/>
      <c r="C25" s="85"/>
      <c r="D25" s="66"/>
      <c r="E25" s="82"/>
      <c r="F25" s="92"/>
      <c r="G25" s="93"/>
      <c r="H25" s="35"/>
      <c r="L25" s="39"/>
    </row>
    <row r="26" spans="2:12" ht="19.2" customHeight="1" x14ac:dyDescent="0.5">
      <c r="B26" s="34"/>
      <c r="C26" s="67" t="s">
        <v>12</v>
      </c>
      <c r="D26" s="124" t="s">
        <v>32</v>
      </c>
      <c r="E26" s="121"/>
      <c r="F26" s="79"/>
      <c r="G26" s="73"/>
      <c r="H26" s="35"/>
      <c r="L26" s="39"/>
    </row>
    <row r="27" spans="2:12" ht="21" x14ac:dyDescent="0.5">
      <c r="B27" s="34"/>
      <c r="C27" s="85">
        <v>44909</v>
      </c>
      <c r="D27" s="130" t="s">
        <v>73</v>
      </c>
      <c r="E27" s="131"/>
      <c r="F27" s="80">
        <v>49446968.399999999</v>
      </c>
      <c r="G27" s="74"/>
      <c r="H27" s="35"/>
    </row>
    <row r="28" spans="2:12" ht="21" x14ac:dyDescent="0.5">
      <c r="B28" s="34"/>
      <c r="C28" s="86"/>
      <c r="D28" s="43"/>
      <c r="E28" s="83" t="s">
        <v>13</v>
      </c>
      <c r="F28" s="81">
        <f>F27-SUM(F22:F24)</f>
        <v>0</v>
      </c>
      <c r="G28" s="44"/>
      <c r="H28" s="35"/>
      <c r="L28" s="1">
        <v>6973089.6100000003</v>
      </c>
    </row>
    <row r="29" spans="2:12" ht="10.199999999999999" customHeight="1" thickBot="1" x14ac:dyDescent="0.5">
      <c r="B29" s="34"/>
      <c r="C29" s="30"/>
      <c r="D29" s="29"/>
      <c r="E29" s="29"/>
      <c r="F29" s="29"/>
      <c r="G29" s="28"/>
      <c r="H29" s="35"/>
    </row>
    <row r="30" spans="2:12" ht="21" thickTop="1" x14ac:dyDescent="0.5">
      <c r="B30" s="34"/>
      <c r="C30" s="112" t="s">
        <v>15</v>
      </c>
      <c r="D30" s="113"/>
      <c r="E30" s="113"/>
      <c r="F30" s="49">
        <f>F17+F27</f>
        <v>287918707.28999996</v>
      </c>
      <c r="G30" s="50">
        <f>G4-F30</f>
        <v>35518450.949800014</v>
      </c>
      <c r="H30" s="35"/>
      <c r="L30" s="101"/>
    </row>
    <row r="31" spans="2:12" ht="20.399999999999999" x14ac:dyDescent="0.5">
      <c r="B31" s="34"/>
      <c r="C31" s="51" t="s">
        <v>16</v>
      </c>
      <c r="D31" s="45"/>
      <c r="E31" s="52"/>
      <c r="F31" s="53"/>
      <c r="G31" s="54"/>
      <c r="H31" s="35"/>
      <c r="L31" s="1">
        <v>219666902</v>
      </c>
    </row>
    <row r="32" spans="2:12" ht="21" x14ac:dyDescent="0.5">
      <c r="B32" s="34"/>
      <c r="C32" s="55" t="s">
        <v>17</v>
      </c>
      <c r="D32" s="56" t="s">
        <v>1</v>
      </c>
      <c r="E32" s="41">
        <f>F28</f>
        <v>0</v>
      </c>
      <c r="F32" s="53"/>
      <c r="G32" s="54"/>
      <c r="H32" s="35"/>
    </row>
    <row r="33" spans="2:8" ht="20.399999999999999" x14ac:dyDescent="0.5">
      <c r="B33" s="34"/>
      <c r="C33" s="55" t="s">
        <v>18</v>
      </c>
      <c r="D33" s="56" t="s">
        <v>1</v>
      </c>
      <c r="E33" s="57" t="s">
        <v>19</v>
      </c>
      <c r="F33" s="53"/>
      <c r="G33" s="54"/>
      <c r="H33" s="35"/>
    </row>
    <row r="34" spans="2:8" ht="20.399999999999999" x14ac:dyDescent="0.5">
      <c r="B34" s="34"/>
      <c r="C34" s="58" t="s">
        <v>20</v>
      </c>
      <c r="D34" s="59" t="s">
        <v>1</v>
      </c>
      <c r="E34" s="60" t="s">
        <v>55</v>
      </c>
      <c r="F34" s="114" t="s">
        <v>26</v>
      </c>
      <c r="G34" s="115"/>
      <c r="H34" s="35"/>
    </row>
    <row r="35" spans="2:8" ht="6" customHeight="1" x14ac:dyDescent="0.45">
      <c r="B35" s="36"/>
      <c r="C35" s="27"/>
      <c r="D35" s="27"/>
      <c r="E35" s="27"/>
      <c r="F35" s="27"/>
      <c r="G35" s="27"/>
      <c r="H35" s="37"/>
    </row>
    <row r="36" spans="2:8" ht="18.600000000000001" x14ac:dyDescent="0.45">
      <c r="C36" s="2"/>
      <c r="D36" s="2"/>
      <c r="E36" s="2"/>
      <c r="F36" s="2"/>
      <c r="G36" s="2"/>
    </row>
    <row r="37" spans="2:8" ht="19.8" x14ac:dyDescent="0.45">
      <c r="C37" s="12" t="s">
        <v>21</v>
      </c>
      <c r="D37" s="13"/>
      <c r="E37" s="14"/>
      <c r="F37" s="15"/>
      <c r="G37" s="2"/>
    </row>
    <row r="38" spans="2:8" ht="19.8" x14ac:dyDescent="0.35">
      <c r="C38" s="12"/>
      <c r="D38" s="13"/>
      <c r="E38" s="14"/>
      <c r="F38" s="16" t="s">
        <v>22</v>
      </c>
      <c r="G38" s="17">
        <v>15000000</v>
      </c>
    </row>
    <row r="39" spans="2:8" ht="19.8" x14ac:dyDescent="0.35">
      <c r="C39" s="12" t="s">
        <v>23</v>
      </c>
      <c r="D39" s="13"/>
      <c r="E39" s="14">
        <v>32343715823.98</v>
      </c>
      <c r="F39" s="18" t="s">
        <v>24</v>
      </c>
      <c r="G39" s="19"/>
    </row>
    <row r="40" spans="2:8" ht="19.8" x14ac:dyDescent="0.35">
      <c r="C40" s="20">
        <v>0.01</v>
      </c>
      <c r="D40" s="13"/>
      <c r="E40" s="14">
        <f>E39*C40</f>
        <v>323437158.23979998</v>
      </c>
      <c r="F40" s="18" t="s">
        <v>25</v>
      </c>
      <c r="G40" s="21"/>
    </row>
    <row r="41" spans="2:8" ht="18.600000000000001" x14ac:dyDescent="0.45">
      <c r="C41" s="2"/>
      <c r="D41" s="2"/>
      <c r="E41" s="2"/>
      <c r="F41" s="2"/>
      <c r="G41" s="2"/>
    </row>
    <row r="42" spans="2:8" ht="18.600000000000001" x14ac:dyDescent="0.45">
      <c r="C42" s="2"/>
      <c r="D42" s="2"/>
      <c r="E42" s="2"/>
      <c r="F42" s="2"/>
      <c r="G42" s="2"/>
    </row>
  </sheetData>
  <mergeCells count="16">
    <mergeCell ref="C9:E9"/>
    <mergeCell ref="D10:E10"/>
    <mergeCell ref="D11:E11"/>
    <mergeCell ref="D12:E12"/>
    <mergeCell ref="D13:E13"/>
    <mergeCell ref="D26:E26"/>
    <mergeCell ref="D27:E27"/>
    <mergeCell ref="C30:E30"/>
    <mergeCell ref="F34:G34"/>
    <mergeCell ref="D14:E14"/>
    <mergeCell ref="D19:E19"/>
    <mergeCell ref="D21:E21"/>
    <mergeCell ref="D22:E22"/>
    <mergeCell ref="D23:E23"/>
    <mergeCell ref="D24:E24"/>
    <mergeCell ref="D15:E15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058F-1800-424C-9CE5-9B9420FDE732}">
  <sheetPr>
    <pageSetUpPr fitToPage="1"/>
  </sheetPr>
  <dimension ref="B3:L43"/>
  <sheetViews>
    <sheetView view="pageBreakPreview" topLeftCell="A13" zoomScale="85" zoomScaleNormal="85" zoomScaleSheetLayoutView="85" workbookViewId="0">
      <selection activeCell="F28" sqref="F28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82</v>
      </c>
      <c r="F4" s="6" t="s">
        <v>2</v>
      </c>
      <c r="G4" s="24">
        <f>+E41</f>
        <v>323437158.23979998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F31</f>
        <v>369221144.28999996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74</v>
      </c>
      <c r="F6" s="7" t="s">
        <v>5</v>
      </c>
      <c r="G6" s="25">
        <f>G4-G5</f>
        <v>-45783986.050199986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-0.14155450257899935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8"/>
      <c r="D10" s="127"/>
      <c r="E10" s="127"/>
      <c r="F10" s="46"/>
      <c r="G10" s="47"/>
      <c r="H10" s="35"/>
    </row>
    <row r="11" spans="2:12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12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12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12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12" ht="20.399999999999999" x14ac:dyDescent="0.5">
      <c r="B15" s="34"/>
      <c r="C15" s="87"/>
      <c r="D15" s="133"/>
      <c r="E15" s="128"/>
      <c r="F15" s="97"/>
      <c r="G15" s="47"/>
      <c r="H15" s="35"/>
      <c r="L15" s="104"/>
    </row>
    <row r="16" spans="2:12" ht="5.4" customHeight="1" thickBot="1" x14ac:dyDescent="0.55000000000000004">
      <c r="B16" s="34"/>
      <c r="C16" s="65"/>
      <c r="D16" s="88"/>
      <c r="E16" s="88"/>
      <c r="F16" s="89"/>
      <c r="G16" s="64"/>
      <c r="H16" s="35"/>
    </row>
    <row r="17" spans="2:12" ht="21.6" thickTop="1" thickBot="1" x14ac:dyDescent="0.55000000000000004">
      <c r="B17" s="34"/>
      <c r="C17" s="40"/>
      <c r="D17" s="29"/>
      <c r="E17" s="61" t="s">
        <v>14</v>
      </c>
      <c r="F17" s="62">
        <f>SUM(F12:F15)</f>
        <v>287918707.28999996</v>
      </c>
      <c r="G17" s="63">
        <f>G4-F17</f>
        <v>35518450.949800014</v>
      </c>
      <c r="H17" s="35"/>
    </row>
    <row r="18" spans="2:12" ht="5.4" customHeight="1" thickTop="1" x14ac:dyDescent="0.5">
      <c r="B18" s="34"/>
      <c r="C18" s="68"/>
      <c r="D18" s="38"/>
      <c r="E18" s="69"/>
      <c r="F18" s="70"/>
      <c r="G18" s="71"/>
      <c r="H18" s="35"/>
    </row>
    <row r="19" spans="2:12" ht="21" x14ac:dyDescent="0.5">
      <c r="B19" s="34"/>
      <c r="C19" s="84"/>
      <c r="D19" s="118" t="s">
        <v>28</v>
      </c>
      <c r="E19" s="119"/>
      <c r="F19" s="90">
        <v>0</v>
      </c>
      <c r="G19" s="75"/>
      <c r="H19" s="35"/>
      <c r="L19" s="1">
        <f>219666902+45000000</f>
        <v>264666902</v>
      </c>
    </row>
    <row r="20" spans="2:12" ht="6" customHeight="1" x14ac:dyDescent="0.5">
      <c r="B20" s="34"/>
      <c r="C20" s="84"/>
      <c r="D20" s="76"/>
      <c r="E20" s="77"/>
      <c r="F20" s="90"/>
      <c r="G20" s="75"/>
      <c r="H20" s="35"/>
    </row>
    <row r="21" spans="2:12" ht="20.399999999999999" x14ac:dyDescent="0.5">
      <c r="B21" s="34"/>
      <c r="C21" s="67" t="s">
        <v>12</v>
      </c>
      <c r="D21" s="120" t="s">
        <v>27</v>
      </c>
      <c r="E21" s="121"/>
      <c r="F21" s="79" t="s">
        <v>29</v>
      </c>
      <c r="G21" s="72" t="s">
        <v>30</v>
      </c>
      <c r="H21" s="35"/>
      <c r="L21" s="1">
        <v>15085757.710000001</v>
      </c>
    </row>
    <row r="22" spans="2:12" ht="19.8" x14ac:dyDescent="0.45">
      <c r="B22" s="34"/>
      <c r="C22" s="103"/>
      <c r="D22" s="122" t="s">
        <v>78</v>
      </c>
      <c r="E22" s="123"/>
      <c r="F22" s="94">
        <v>0</v>
      </c>
      <c r="G22" s="95">
        <v>0</v>
      </c>
      <c r="H22" s="35"/>
      <c r="L22" s="105"/>
    </row>
    <row r="23" spans="2:12" ht="19.8" customHeight="1" x14ac:dyDescent="0.45">
      <c r="B23" s="34"/>
      <c r="C23" s="85">
        <v>44796</v>
      </c>
      <c r="D23" s="134" t="s">
        <v>80</v>
      </c>
      <c r="E23" s="135"/>
      <c r="F23" s="94">
        <v>11388194.710000001</v>
      </c>
      <c r="G23" s="95">
        <v>0</v>
      </c>
      <c r="H23" s="35"/>
      <c r="L23" s="105"/>
    </row>
    <row r="24" spans="2:12" ht="19.8" customHeight="1" x14ac:dyDescent="0.45">
      <c r="B24" s="34"/>
      <c r="C24" s="85">
        <v>44799</v>
      </c>
      <c r="D24" s="134" t="s">
        <v>79</v>
      </c>
      <c r="E24" s="135"/>
      <c r="F24" s="94">
        <v>50000000</v>
      </c>
      <c r="G24" s="95">
        <v>0</v>
      </c>
      <c r="H24" s="35"/>
      <c r="L24" s="105"/>
    </row>
    <row r="25" spans="2:12" ht="19.8" customHeight="1" x14ac:dyDescent="0.45">
      <c r="B25" s="34"/>
      <c r="C25" s="85">
        <v>44803</v>
      </c>
      <c r="D25" s="134" t="s">
        <v>81</v>
      </c>
      <c r="E25" s="135"/>
      <c r="F25" s="94">
        <v>19914242.289999999</v>
      </c>
      <c r="G25" s="95">
        <f>35000000-F25</f>
        <v>15085757.710000001</v>
      </c>
      <c r="H25" s="35"/>
      <c r="L25" s="106"/>
    </row>
    <row r="26" spans="2:12" ht="7.8" customHeight="1" x14ac:dyDescent="0.5">
      <c r="B26" s="34"/>
      <c r="C26" s="85"/>
      <c r="D26" s="66"/>
      <c r="E26" s="82"/>
      <c r="F26" s="92"/>
      <c r="G26" s="93"/>
      <c r="H26" s="35"/>
      <c r="L26" s="39"/>
    </row>
    <row r="27" spans="2:12" ht="19.2" customHeight="1" x14ac:dyDescent="0.5">
      <c r="B27" s="34"/>
      <c r="C27" s="67" t="s">
        <v>12</v>
      </c>
      <c r="D27" s="124" t="s">
        <v>32</v>
      </c>
      <c r="E27" s="121"/>
      <c r="F27" s="79"/>
      <c r="G27" s="73"/>
      <c r="H27" s="35"/>
      <c r="L27" s="39"/>
    </row>
    <row r="28" spans="2:12" ht="21" x14ac:dyDescent="0.5">
      <c r="B28" s="34"/>
      <c r="C28" s="85">
        <v>44946</v>
      </c>
      <c r="D28" s="130" t="s">
        <v>77</v>
      </c>
      <c r="E28" s="131"/>
      <c r="F28" s="80">
        <v>81302437</v>
      </c>
      <c r="G28" s="74"/>
      <c r="H28" s="35"/>
    </row>
    <row r="29" spans="2:12" ht="21" x14ac:dyDescent="0.5">
      <c r="B29" s="34"/>
      <c r="C29" s="86"/>
      <c r="D29" s="43"/>
      <c r="E29" s="83" t="s">
        <v>13</v>
      </c>
      <c r="F29" s="81">
        <f>F28-SUM(F22:F25)</f>
        <v>0</v>
      </c>
      <c r="G29" s="44"/>
      <c r="H29" s="35"/>
    </row>
    <row r="30" spans="2:12" ht="10.199999999999999" customHeight="1" thickBot="1" x14ac:dyDescent="0.5">
      <c r="B30" s="34"/>
      <c r="C30" s="30"/>
      <c r="D30" s="29"/>
      <c r="E30" s="29"/>
      <c r="F30" s="29"/>
      <c r="G30" s="28"/>
      <c r="H30" s="35"/>
    </row>
    <row r="31" spans="2:12" ht="21" thickTop="1" x14ac:dyDescent="0.5">
      <c r="B31" s="34"/>
      <c r="C31" s="112" t="s">
        <v>15</v>
      </c>
      <c r="D31" s="113"/>
      <c r="E31" s="113"/>
      <c r="F31" s="49">
        <f>F17+F28</f>
        <v>369221144.28999996</v>
      </c>
      <c r="G31" s="50">
        <f>G4-F31</f>
        <v>-45783986.050199986</v>
      </c>
      <c r="H31" s="35"/>
      <c r="L31" s="101"/>
    </row>
    <row r="32" spans="2:12" ht="20.399999999999999" x14ac:dyDescent="0.5">
      <c r="B32" s="34"/>
      <c r="C32" s="51" t="s">
        <v>16</v>
      </c>
      <c r="D32" s="45"/>
      <c r="E32" s="52"/>
      <c r="F32" s="53"/>
      <c r="G32" s="54"/>
      <c r="H32" s="35"/>
    </row>
    <row r="33" spans="2:8" ht="21" x14ac:dyDescent="0.5">
      <c r="B33" s="34"/>
      <c r="C33" s="55" t="s">
        <v>17</v>
      </c>
      <c r="D33" s="56" t="s">
        <v>1</v>
      </c>
      <c r="E33" s="41">
        <f>F29</f>
        <v>0</v>
      </c>
      <c r="F33" s="53"/>
      <c r="G33" s="54"/>
      <c r="H33" s="35"/>
    </row>
    <row r="34" spans="2:8" ht="20.399999999999999" x14ac:dyDescent="0.5">
      <c r="B34" s="34"/>
      <c r="C34" s="55" t="s">
        <v>18</v>
      </c>
      <c r="D34" s="56" t="s">
        <v>1</v>
      </c>
      <c r="E34" s="57" t="s">
        <v>19</v>
      </c>
      <c r="F34" s="53"/>
      <c r="G34" s="54"/>
      <c r="H34" s="35"/>
    </row>
    <row r="35" spans="2:8" ht="20.399999999999999" x14ac:dyDescent="0.5">
      <c r="B35" s="34"/>
      <c r="C35" s="58" t="s">
        <v>20</v>
      </c>
      <c r="D35" s="59" t="s">
        <v>1</v>
      </c>
      <c r="E35" s="60" t="s">
        <v>55</v>
      </c>
      <c r="F35" s="114" t="s">
        <v>26</v>
      </c>
      <c r="G35" s="115"/>
      <c r="H35" s="35"/>
    </row>
    <row r="36" spans="2:8" ht="6" customHeight="1" x14ac:dyDescent="0.45">
      <c r="B36" s="36"/>
      <c r="C36" s="27"/>
      <c r="D36" s="27"/>
      <c r="E36" s="27"/>
      <c r="F36" s="27"/>
      <c r="G36" s="27"/>
      <c r="H36" s="37"/>
    </row>
    <row r="37" spans="2:8" ht="18.600000000000001" x14ac:dyDescent="0.45">
      <c r="C37" s="2"/>
      <c r="D37" s="2"/>
      <c r="E37" s="2"/>
      <c r="F37" s="2"/>
      <c r="G37" s="2"/>
    </row>
    <row r="38" spans="2:8" ht="19.8" x14ac:dyDescent="0.45">
      <c r="C38" s="12" t="s">
        <v>21</v>
      </c>
      <c r="D38" s="13"/>
      <c r="E38" s="14"/>
      <c r="F38" s="15"/>
      <c r="G38" s="2"/>
    </row>
    <row r="39" spans="2:8" ht="19.8" x14ac:dyDescent="0.35">
      <c r="C39" s="12"/>
      <c r="D39" s="13"/>
      <c r="E39" s="14"/>
      <c r="F39" s="16" t="s">
        <v>22</v>
      </c>
      <c r="G39" s="17">
        <v>15000000</v>
      </c>
    </row>
    <row r="40" spans="2:8" ht="19.8" x14ac:dyDescent="0.35">
      <c r="C40" s="12" t="s">
        <v>23</v>
      </c>
      <c r="D40" s="13"/>
      <c r="E40" s="14">
        <v>32343715823.98</v>
      </c>
      <c r="F40" s="18" t="s">
        <v>24</v>
      </c>
      <c r="G40" s="19"/>
    </row>
    <row r="41" spans="2:8" ht="19.8" x14ac:dyDescent="0.35">
      <c r="C41" s="20">
        <v>0.01</v>
      </c>
      <c r="D41" s="13"/>
      <c r="E41" s="14">
        <f>E40*C41</f>
        <v>323437158.23979998</v>
      </c>
      <c r="F41" s="18" t="s">
        <v>25</v>
      </c>
      <c r="G41" s="21"/>
    </row>
    <row r="42" spans="2:8" ht="18.600000000000001" x14ac:dyDescent="0.45">
      <c r="C42" s="2"/>
      <c r="D42" s="2"/>
      <c r="E42" s="2"/>
      <c r="F42" s="2"/>
      <c r="G42" s="2"/>
    </row>
    <row r="43" spans="2:8" ht="18.600000000000001" x14ac:dyDescent="0.45">
      <c r="C43" s="2"/>
      <c r="D43" s="2"/>
      <c r="E43" s="2"/>
      <c r="F43" s="2"/>
      <c r="G43" s="2"/>
    </row>
  </sheetData>
  <mergeCells count="17">
    <mergeCell ref="D14:E14"/>
    <mergeCell ref="C9:E9"/>
    <mergeCell ref="D10:E10"/>
    <mergeCell ref="D11:E11"/>
    <mergeCell ref="D12:E12"/>
    <mergeCell ref="D13:E13"/>
    <mergeCell ref="D15:E15"/>
    <mergeCell ref="D19:E19"/>
    <mergeCell ref="D21:E21"/>
    <mergeCell ref="D22:E22"/>
    <mergeCell ref="D23:E23"/>
    <mergeCell ref="D27:E27"/>
    <mergeCell ref="D28:E28"/>
    <mergeCell ref="C31:E31"/>
    <mergeCell ref="F35:G35"/>
    <mergeCell ref="D24:E24"/>
    <mergeCell ref="D25:E25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68E2-767D-46A8-9315-2ED95C4BB060}">
  <sheetPr>
    <pageSetUpPr fitToPage="1"/>
  </sheetPr>
  <dimension ref="B3:L42"/>
  <sheetViews>
    <sheetView view="pageBreakPreview" topLeftCell="A9" zoomScale="85" zoomScaleNormal="85" zoomScaleSheetLayoutView="85" workbookViewId="0">
      <selection activeCell="F27" sqref="F2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83</v>
      </c>
      <c r="F4" s="6" t="s">
        <v>2</v>
      </c>
      <c r="G4" s="24">
        <f>+E40</f>
        <v>323437158.23979998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F30</f>
        <v>432051754.28999996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84</v>
      </c>
      <c r="F6" s="7" t="s">
        <v>5</v>
      </c>
      <c r="G6" s="25">
        <f>G4-G5</f>
        <v>-108614596.05019999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-0.33581359866410865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8"/>
      <c r="D10" s="127"/>
      <c r="E10" s="127"/>
      <c r="F10" s="46"/>
      <c r="G10" s="47"/>
      <c r="H10" s="35"/>
    </row>
    <row r="11" spans="2:12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12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12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12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12" ht="20.399999999999999" x14ac:dyDescent="0.5">
      <c r="B15" s="34"/>
      <c r="C15" s="87" t="s">
        <v>86</v>
      </c>
      <c r="D15" s="133" t="s">
        <v>87</v>
      </c>
      <c r="E15" s="128"/>
      <c r="F15" s="97">
        <f>LK.5!F28</f>
        <v>81302437</v>
      </c>
      <c r="G15" s="47"/>
      <c r="H15" s="35"/>
      <c r="L15" s="104"/>
    </row>
    <row r="16" spans="2:12" ht="5.4" customHeight="1" thickBot="1" x14ac:dyDescent="0.55000000000000004">
      <c r="B16" s="34"/>
      <c r="C16" s="65"/>
      <c r="D16" s="88"/>
      <c r="E16" s="88"/>
      <c r="F16" s="89"/>
      <c r="G16" s="64"/>
      <c r="H16" s="35"/>
    </row>
    <row r="17" spans="2:12" ht="21.6" thickTop="1" thickBot="1" x14ac:dyDescent="0.55000000000000004">
      <c r="B17" s="34"/>
      <c r="C17" s="40"/>
      <c r="D17" s="29"/>
      <c r="E17" s="61" t="s">
        <v>14</v>
      </c>
      <c r="F17" s="62">
        <f>SUM(F12:F15)</f>
        <v>369221144.28999996</v>
      </c>
      <c r="G17" s="63">
        <f>G4-F17</f>
        <v>-45783986.050199986</v>
      </c>
      <c r="H17" s="35"/>
    </row>
    <row r="18" spans="2:12" ht="5.4" customHeight="1" thickTop="1" x14ac:dyDescent="0.5">
      <c r="B18" s="34"/>
      <c r="C18" s="68"/>
      <c r="D18" s="38"/>
      <c r="E18" s="69"/>
      <c r="F18" s="70"/>
      <c r="G18" s="71"/>
      <c r="H18" s="35"/>
    </row>
    <row r="19" spans="2:12" ht="21" x14ac:dyDescent="0.5">
      <c r="B19" s="34"/>
      <c r="C19" s="84"/>
      <c r="D19" s="118" t="s">
        <v>28</v>
      </c>
      <c r="E19" s="119"/>
      <c r="F19" s="90">
        <v>0</v>
      </c>
      <c r="G19" s="75"/>
      <c r="H19" s="35"/>
    </row>
    <row r="20" spans="2:12" ht="6" customHeight="1" x14ac:dyDescent="0.5">
      <c r="B20" s="34"/>
      <c r="C20" s="84"/>
      <c r="D20" s="76"/>
      <c r="E20" s="77"/>
      <c r="F20" s="90"/>
      <c r="G20" s="75"/>
      <c r="H20" s="35"/>
    </row>
    <row r="21" spans="2:12" ht="20.399999999999999" x14ac:dyDescent="0.5">
      <c r="B21" s="34"/>
      <c r="C21" s="67" t="s">
        <v>12</v>
      </c>
      <c r="D21" s="120" t="s">
        <v>27</v>
      </c>
      <c r="E21" s="121"/>
      <c r="F21" s="79" t="s">
        <v>29</v>
      </c>
      <c r="G21" s="72" t="s">
        <v>30</v>
      </c>
      <c r="H21" s="35"/>
      <c r="L21" s="1">
        <f>264666902+35000000+50000000</f>
        <v>349666902</v>
      </c>
    </row>
    <row r="22" spans="2:12" ht="19.8" x14ac:dyDescent="0.45">
      <c r="B22" s="34"/>
      <c r="C22" s="103"/>
      <c r="D22" s="122" t="s">
        <v>91</v>
      </c>
      <c r="E22" s="123"/>
      <c r="F22" s="94">
        <v>0</v>
      </c>
      <c r="G22" s="95">
        <v>0</v>
      </c>
      <c r="H22" s="35"/>
      <c r="L22" s="105"/>
    </row>
    <row r="23" spans="2:12" ht="19.8" customHeight="1" x14ac:dyDescent="0.45">
      <c r="B23" s="34"/>
      <c r="C23" s="85">
        <v>44803</v>
      </c>
      <c r="D23" s="134" t="s">
        <v>88</v>
      </c>
      <c r="E23" s="135"/>
      <c r="F23" s="94">
        <v>15085757.710000001</v>
      </c>
      <c r="G23" s="95">
        <v>0</v>
      </c>
      <c r="H23" s="35"/>
      <c r="L23" s="105"/>
    </row>
    <row r="24" spans="2:12" ht="19.8" customHeight="1" x14ac:dyDescent="0.45">
      <c r="B24" s="34"/>
      <c r="C24" s="107" t="s">
        <v>89</v>
      </c>
      <c r="D24" s="134" t="s">
        <v>90</v>
      </c>
      <c r="E24" s="135"/>
      <c r="F24" s="94">
        <v>47744852.289999999</v>
      </c>
      <c r="G24" s="95">
        <f>50985790-F24</f>
        <v>3240937.7100000009</v>
      </c>
      <c r="H24" s="35"/>
      <c r="L24" s="105">
        <f>15000000-G24</f>
        <v>11759062.289999999</v>
      </c>
    </row>
    <row r="25" spans="2:12" ht="7.8" customHeight="1" x14ac:dyDescent="0.5">
      <c r="B25" s="34"/>
      <c r="C25" s="85"/>
      <c r="D25" s="66"/>
      <c r="E25" s="82"/>
      <c r="F25" s="92"/>
      <c r="G25" s="93"/>
      <c r="H25" s="35"/>
      <c r="L25" s="39"/>
    </row>
    <row r="26" spans="2:12" ht="19.2" customHeight="1" x14ac:dyDescent="0.5">
      <c r="B26" s="34"/>
      <c r="C26" s="67" t="s">
        <v>12</v>
      </c>
      <c r="D26" s="124" t="s">
        <v>32</v>
      </c>
      <c r="E26" s="121"/>
      <c r="F26" s="79"/>
      <c r="G26" s="73"/>
      <c r="H26" s="35"/>
      <c r="L26" s="39">
        <v>3240937.71</v>
      </c>
    </row>
    <row r="27" spans="2:12" ht="21" x14ac:dyDescent="0.5">
      <c r="B27" s="34"/>
      <c r="C27" s="85">
        <v>44946</v>
      </c>
      <c r="D27" s="130" t="s">
        <v>85</v>
      </c>
      <c r="E27" s="131"/>
      <c r="F27" s="80">
        <v>62830610</v>
      </c>
      <c r="G27" s="74"/>
      <c r="H27" s="35"/>
    </row>
    <row r="28" spans="2:12" ht="21" x14ac:dyDescent="0.5">
      <c r="B28" s="34"/>
      <c r="C28" s="86"/>
      <c r="D28" s="43"/>
      <c r="E28" s="83" t="s">
        <v>13</v>
      </c>
      <c r="F28" s="81">
        <f>F27-SUM(F22:F24)</f>
        <v>0</v>
      </c>
      <c r="G28" s="44"/>
      <c r="H28" s="35"/>
    </row>
    <row r="29" spans="2:12" ht="10.199999999999999" customHeight="1" thickBot="1" x14ac:dyDescent="0.5">
      <c r="B29" s="34"/>
      <c r="C29" s="30"/>
      <c r="D29" s="29"/>
      <c r="E29" s="29"/>
      <c r="F29" s="29"/>
      <c r="G29" s="28"/>
      <c r="H29" s="35"/>
    </row>
    <row r="30" spans="2:12" ht="21" thickTop="1" x14ac:dyDescent="0.5">
      <c r="B30" s="34"/>
      <c r="C30" s="112" t="s">
        <v>15</v>
      </c>
      <c r="D30" s="113"/>
      <c r="E30" s="113"/>
      <c r="F30" s="49">
        <f>F17+F27</f>
        <v>432051754.28999996</v>
      </c>
      <c r="G30" s="50">
        <f>G4-F30</f>
        <v>-108614596.05019999</v>
      </c>
      <c r="H30" s="35"/>
      <c r="L30" s="101"/>
    </row>
    <row r="31" spans="2:12" ht="20.399999999999999" x14ac:dyDescent="0.5">
      <c r="B31" s="34"/>
      <c r="C31" s="51" t="s">
        <v>16</v>
      </c>
      <c r="D31" s="45"/>
      <c r="E31" s="52"/>
      <c r="F31" s="53"/>
      <c r="G31" s="54"/>
      <c r="H31" s="35"/>
    </row>
    <row r="32" spans="2:12" ht="21" x14ac:dyDescent="0.5">
      <c r="B32" s="34"/>
      <c r="C32" s="55" t="s">
        <v>17</v>
      </c>
      <c r="D32" s="56" t="s">
        <v>1</v>
      </c>
      <c r="E32" s="41">
        <f>F28</f>
        <v>0</v>
      </c>
      <c r="F32" s="53"/>
      <c r="G32" s="54"/>
      <c r="H32" s="35"/>
    </row>
    <row r="33" spans="2:8" ht="20.399999999999999" x14ac:dyDescent="0.5">
      <c r="B33" s="34"/>
      <c r="C33" s="55" t="s">
        <v>18</v>
      </c>
      <c r="D33" s="56" t="s">
        <v>1</v>
      </c>
      <c r="E33" s="57" t="s">
        <v>19</v>
      </c>
      <c r="F33" s="53"/>
      <c r="G33" s="54"/>
      <c r="H33" s="35"/>
    </row>
    <row r="34" spans="2:8" ht="20.399999999999999" x14ac:dyDescent="0.5">
      <c r="B34" s="34"/>
      <c r="C34" s="58" t="s">
        <v>20</v>
      </c>
      <c r="D34" s="59" t="s">
        <v>1</v>
      </c>
      <c r="E34" s="60" t="s">
        <v>55</v>
      </c>
      <c r="F34" s="114" t="s">
        <v>26</v>
      </c>
      <c r="G34" s="115"/>
      <c r="H34" s="35"/>
    </row>
    <row r="35" spans="2:8" ht="6" customHeight="1" x14ac:dyDescent="0.45">
      <c r="B35" s="36"/>
      <c r="C35" s="27"/>
      <c r="D35" s="27"/>
      <c r="E35" s="27"/>
      <c r="F35" s="27"/>
      <c r="G35" s="27"/>
      <c r="H35" s="37"/>
    </row>
    <row r="36" spans="2:8" ht="18.600000000000001" x14ac:dyDescent="0.45">
      <c r="C36" s="2"/>
      <c r="D36" s="2"/>
      <c r="E36" s="2"/>
      <c r="F36" s="2"/>
      <c r="G36" s="2"/>
    </row>
    <row r="37" spans="2:8" ht="19.8" x14ac:dyDescent="0.45">
      <c r="C37" s="12" t="s">
        <v>21</v>
      </c>
      <c r="D37" s="13"/>
      <c r="E37" s="14"/>
      <c r="F37" s="15"/>
      <c r="G37" s="2"/>
    </row>
    <row r="38" spans="2:8" ht="19.8" x14ac:dyDescent="0.35">
      <c r="C38" s="12"/>
      <c r="D38" s="13"/>
      <c r="E38" s="14"/>
      <c r="F38" s="16" t="s">
        <v>22</v>
      </c>
      <c r="G38" s="17">
        <v>15000000</v>
      </c>
    </row>
    <row r="39" spans="2:8" ht="19.8" x14ac:dyDescent="0.35">
      <c r="C39" s="12" t="s">
        <v>23</v>
      </c>
      <c r="D39" s="13"/>
      <c r="E39" s="14">
        <v>32343715823.98</v>
      </c>
      <c r="F39" s="18" t="s">
        <v>24</v>
      </c>
      <c r="G39" s="19"/>
    </row>
    <row r="40" spans="2:8" ht="19.8" x14ac:dyDescent="0.35">
      <c r="C40" s="20">
        <v>0.01</v>
      </c>
      <c r="D40" s="13"/>
      <c r="E40" s="14">
        <f>E39*C40</f>
        <v>323437158.23979998</v>
      </c>
      <c r="F40" s="18" t="s">
        <v>25</v>
      </c>
      <c r="G40" s="21"/>
    </row>
    <row r="41" spans="2:8" ht="18.600000000000001" x14ac:dyDescent="0.45">
      <c r="C41" s="2"/>
      <c r="D41" s="2"/>
      <c r="E41" s="2"/>
      <c r="F41" s="2"/>
      <c r="G41" s="2"/>
    </row>
    <row r="42" spans="2:8" ht="18.600000000000001" x14ac:dyDescent="0.45">
      <c r="C42" s="2"/>
      <c r="D42" s="2"/>
      <c r="E42" s="2"/>
      <c r="F42" s="2"/>
      <c r="G42" s="2"/>
    </row>
  </sheetData>
  <mergeCells count="16">
    <mergeCell ref="D14:E14"/>
    <mergeCell ref="C9:E9"/>
    <mergeCell ref="D10:E10"/>
    <mergeCell ref="D11:E11"/>
    <mergeCell ref="D12:E12"/>
    <mergeCell ref="D13:E13"/>
    <mergeCell ref="D26:E26"/>
    <mergeCell ref="D27:E27"/>
    <mergeCell ref="C30:E30"/>
    <mergeCell ref="F34:G34"/>
    <mergeCell ref="D15:E15"/>
    <mergeCell ref="D19:E19"/>
    <mergeCell ref="D21:E21"/>
    <mergeCell ref="D22:E22"/>
    <mergeCell ref="D23:E23"/>
    <mergeCell ref="D24:E24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2254-A975-4EC1-A0CC-830CCD5CABE4}">
  <sheetPr>
    <pageSetUpPr fitToPage="1"/>
  </sheetPr>
  <dimension ref="B3:L43"/>
  <sheetViews>
    <sheetView view="pageBreakPreview" topLeftCell="A9" zoomScale="85" zoomScaleNormal="85" zoomScaleSheetLayoutView="85" workbookViewId="0">
      <selection activeCell="F26" sqref="F26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94</v>
      </c>
      <c r="F4" s="6" t="s">
        <v>2</v>
      </c>
      <c r="G4" s="24">
        <f>+E41</f>
        <v>323437158.23979998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F31</f>
        <v>466507477.28999996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95</v>
      </c>
      <c r="F6" s="7" t="s">
        <v>5</v>
      </c>
      <c r="G6" s="25">
        <f>G4-G5</f>
        <v>-143070319.05019999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-0.44234348282310232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8"/>
      <c r="D10" s="127"/>
      <c r="E10" s="127"/>
      <c r="F10" s="46"/>
      <c r="G10" s="47"/>
      <c r="H10" s="35"/>
    </row>
    <row r="11" spans="2:12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12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12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12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12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47"/>
      <c r="H15" s="35"/>
      <c r="L15" s="104"/>
    </row>
    <row r="16" spans="2:12" ht="5.4" customHeight="1" thickBot="1" x14ac:dyDescent="0.55000000000000004">
      <c r="B16" s="34"/>
      <c r="C16" s="65"/>
      <c r="D16" s="88"/>
      <c r="E16" s="88"/>
      <c r="F16" s="89"/>
      <c r="G16" s="64"/>
      <c r="H16" s="35"/>
    </row>
    <row r="17" spans="2:12" ht="21.6" thickTop="1" thickBot="1" x14ac:dyDescent="0.55000000000000004">
      <c r="B17" s="34"/>
      <c r="C17" s="40"/>
      <c r="D17" s="29"/>
      <c r="E17" s="61" t="s">
        <v>14</v>
      </c>
      <c r="F17" s="62">
        <f>SUM(F12:F15)</f>
        <v>432051754.28999996</v>
      </c>
      <c r="G17" s="63">
        <f>G4-F17</f>
        <v>-108614596.05019999</v>
      </c>
      <c r="H17" s="35"/>
    </row>
    <row r="18" spans="2:12" ht="5.4" customHeight="1" thickTop="1" x14ac:dyDescent="0.5">
      <c r="B18" s="34"/>
      <c r="C18" s="68"/>
      <c r="D18" s="38"/>
      <c r="E18" s="69"/>
      <c r="F18" s="70"/>
      <c r="G18" s="71"/>
      <c r="H18" s="35"/>
    </row>
    <row r="19" spans="2:12" ht="21" x14ac:dyDescent="0.5">
      <c r="B19" s="34"/>
      <c r="C19" s="84"/>
      <c r="D19" s="118" t="s">
        <v>28</v>
      </c>
      <c r="E19" s="119"/>
      <c r="F19" s="90">
        <v>0</v>
      </c>
      <c r="G19" s="75"/>
      <c r="H19" s="35"/>
    </row>
    <row r="20" spans="2:12" ht="6" customHeight="1" x14ac:dyDescent="0.5">
      <c r="B20" s="34"/>
      <c r="C20" s="84"/>
      <c r="D20" s="76"/>
      <c r="E20" s="77"/>
      <c r="F20" s="90"/>
      <c r="G20" s="75"/>
      <c r="H20" s="35"/>
    </row>
    <row r="21" spans="2:12" ht="20.399999999999999" x14ac:dyDescent="0.5">
      <c r="B21" s="34"/>
      <c r="C21" s="67" t="s">
        <v>12</v>
      </c>
      <c r="D21" s="120" t="s">
        <v>27</v>
      </c>
      <c r="E21" s="121"/>
      <c r="F21" s="79" t="s">
        <v>29</v>
      </c>
      <c r="G21" s="72" t="s">
        <v>30</v>
      </c>
      <c r="H21" s="35"/>
      <c r="L21" s="1">
        <f>264666902+35000000+50000000+35000000</f>
        <v>384666902</v>
      </c>
    </row>
    <row r="22" spans="2:12" ht="19.8" x14ac:dyDescent="0.45">
      <c r="B22" s="34"/>
      <c r="C22" s="103"/>
      <c r="D22" s="122" t="s">
        <v>93</v>
      </c>
      <c r="E22" s="123"/>
      <c r="F22" s="94">
        <v>0</v>
      </c>
      <c r="G22" s="95">
        <v>0</v>
      </c>
      <c r="H22" s="35"/>
      <c r="L22" s="105"/>
    </row>
    <row r="23" spans="2:12" ht="19.8" customHeight="1" x14ac:dyDescent="0.45">
      <c r="B23" s="34"/>
      <c r="C23" s="107" t="s">
        <v>89</v>
      </c>
      <c r="D23" s="134" t="s">
        <v>92</v>
      </c>
      <c r="E23" s="135"/>
      <c r="F23" s="94">
        <v>3240937.7100000009</v>
      </c>
      <c r="G23" s="95">
        <v>0</v>
      </c>
      <c r="H23" s="35"/>
      <c r="L23" s="105"/>
    </row>
    <row r="24" spans="2:12" ht="19.8" customHeight="1" x14ac:dyDescent="0.45">
      <c r="B24" s="34"/>
      <c r="C24" s="85">
        <v>44854</v>
      </c>
      <c r="D24" s="134" t="s">
        <v>97</v>
      </c>
      <c r="E24" s="135"/>
      <c r="F24" s="94">
        <v>31214785.289999999</v>
      </c>
      <c r="G24" s="95">
        <f>40000000-F24</f>
        <v>8785214.7100000009</v>
      </c>
      <c r="H24" s="35"/>
      <c r="L24" s="105"/>
    </row>
    <row r="25" spans="2:12" ht="19.8" customHeight="1" x14ac:dyDescent="0.45">
      <c r="B25" s="34"/>
      <c r="C25" s="107"/>
      <c r="D25" s="134"/>
      <c r="E25" s="135"/>
      <c r="F25" s="94"/>
      <c r="G25" s="95"/>
      <c r="H25" s="35"/>
      <c r="L25" s="105">
        <f>15000000-G25</f>
        <v>15000000</v>
      </c>
    </row>
    <row r="26" spans="2:12" ht="7.8" customHeight="1" x14ac:dyDescent="0.5">
      <c r="B26" s="34"/>
      <c r="C26" s="85"/>
      <c r="D26" s="66"/>
      <c r="E26" s="82"/>
      <c r="F26" s="92"/>
      <c r="G26" s="93"/>
      <c r="H26" s="35"/>
      <c r="L26" s="39"/>
    </row>
    <row r="27" spans="2:12" ht="19.2" customHeight="1" x14ac:dyDescent="0.5">
      <c r="B27" s="34"/>
      <c r="C27" s="67" t="s">
        <v>12</v>
      </c>
      <c r="D27" s="124" t="s">
        <v>32</v>
      </c>
      <c r="E27" s="121"/>
      <c r="F27" s="79"/>
      <c r="G27" s="73"/>
      <c r="H27" s="35"/>
      <c r="L27" s="39">
        <v>3240937.71</v>
      </c>
    </row>
    <row r="28" spans="2:12" ht="21" x14ac:dyDescent="0.5">
      <c r="B28" s="34"/>
      <c r="C28" s="85">
        <v>44946</v>
      </c>
      <c r="D28" s="130" t="s">
        <v>96</v>
      </c>
      <c r="E28" s="131"/>
      <c r="F28" s="80">
        <v>34455723</v>
      </c>
      <c r="G28" s="74"/>
      <c r="H28" s="35"/>
    </row>
    <row r="29" spans="2:12" ht="21" x14ac:dyDescent="0.5">
      <c r="B29" s="34"/>
      <c r="C29" s="86"/>
      <c r="D29" s="43"/>
      <c r="E29" s="83" t="s">
        <v>13</v>
      </c>
      <c r="F29" s="81">
        <f>F28-SUM(F22:F25)</f>
        <v>0</v>
      </c>
      <c r="G29" s="44"/>
      <c r="H29" s="35"/>
      <c r="L29" s="1">
        <v>8785214.7100000009</v>
      </c>
    </row>
    <row r="30" spans="2:12" ht="10.199999999999999" customHeight="1" thickBot="1" x14ac:dyDescent="0.5">
      <c r="B30" s="34"/>
      <c r="C30" s="30"/>
      <c r="D30" s="29"/>
      <c r="E30" s="29"/>
      <c r="F30" s="29"/>
      <c r="G30" s="28"/>
      <c r="H30" s="35"/>
    </row>
    <row r="31" spans="2:12" ht="21" thickTop="1" x14ac:dyDescent="0.5">
      <c r="B31" s="34"/>
      <c r="C31" s="112" t="s">
        <v>15</v>
      </c>
      <c r="D31" s="113"/>
      <c r="E31" s="113"/>
      <c r="F31" s="49">
        <f>F17+F28</f>
        <v>466507477.28999996</v>
      </c>
      <c r="G31" s="50">
        <f>G4-F31</f>
        <v>-143070319.05019999</v>
      </c>
      <c r="H31" s="35"/>
      <c r="L31" s="101"/>
    </row>
    <row r="32" spans="2:12" ht="20.399999999999999" x14ac:dyDescent="0.5">
      <c r="B32" s="34"/>
      <c r="C32" s="51" t="s">
        <v>16</v>
      </c>
      <c r="D32" s="45"/>
      <c r="E32" s="52"/>
      <c r="F32" s="53"/>
      <c r="G32" s="54"/>
      <c r="H32" s="35"/>
    </row>
    <row r="33" spans="2:8" ht="21" x14ac:dyDescent="0.5">
      <c r="B33" s="34"/>
      <c r="C33" s="55" t="s">
        <v>17</v>
      </c>
      <c r="D33" s="56" t="s">
        <v>1</v>
      </c>
      <c r="E33" s="41">
        <f>F29</f>
        <v>0</v>
      </c>
      <c r="F33" s="53"/>
      <c r="G33" s="54"/>
      <c r="H33" s="35"/>
    </row>
    <row r="34" spans="2:8" ht="20.399999999999999" x14ac:dyDescent="0.5">
      <c r="B34" s="34"/>
      <c r="C34" s="55" t="s">
        <v>18</v>
      </c>
      <c r="D34" s="56" t="s">
        <v>1</v>
      </c>
      <c r="E34" s="57" t="s">
        <v>19</v>
      </c>
      <c r="F34" s="53"/>
      <c r="G34" s="54"/>
      <c r="H34" s="35"/>
    </row>
    <row r="35" spans="2:8" ht="20.399999999999999" x14ac:dyDescent="0.5">
      <c r="B35" s="34"/>
      <c r="C35" s="58" t="s">
        <v>20</v>
      </c>
      <c r="D35" s="59" t="s">
        <v>1</v>
      </c>
      <c r="E35" s="60" t="s">
        <v>55</v>
      </c>
      <c r="F35" s="114" t="s">
        <v>26</v>
      </c>
      <c r="G35" s="115"/>
      <c r="H35" s="35"/>
    </row>
    <row r="36" spans="2:8" ht="6" customHeight="1" x14ac:dyDescent="0.45">
      <c r="B36" s="36"/>
      <c r="C36" s="27"/>
      <c r="D36" s="27"/>
      <c r="E36" s="27"/>
      <c r="F36" s="27"/>
      <c r="G36" s="27"/>
      <c r="H36" s="37"/>
    </row>
    <row r="37" spans="2:8" ht="18.600000000000001" x14ac:dyDescent="0.45">
      <c r="C37" s="2"/>
      <c r="D37" s="2"/>
      <c r="E37" s="2"/>
      <c r="F37" s="2"/>
      <c r="G37" s="2"/>
    </row>
    <row r="38" spans="2:8" ht="19.8" x14ac:dyDescent="0.45">
      <c r="C38" s="12" t="s">
        <v>21</v>
      </c>
      <c r="D38" s="13"/>
      <c r="E38" s="14"/>
      <c r="F38" s="15"/>
      <c r="G38" s="2"/>
    </row>
    <row r="39" spans="2:8" ht="19.8" x14ac:dyDescent="0.35">
      <c r="C39" s="12"/>
      <c r="D39" s="13"/>
      <c r="E39" s="14"/>
      <c r="F39" s="16" t="s">
        <v>22</v>
      </c>
      <c r="G39" s="17">
        <v>15000000</v>
      </c>
    </row>
    <row r="40" spans="2:8" ht="19.8" x14ac:dyDescent="0.35">
      <c r="C40" s="12" t="s">
        <v>23</v>
      </c>
      <c r="D40" s="13"/>
      <c r="E40" s="14">
        <v>32343715823.98</v>
      </c>
      <c r="F40" s="18" t="s">
        <v>24</v>
      </c>
      <c r="G40" s="19"/>
    </row>
    <row r="41" spans="2:8" ht="19.8" x14ac:dyDescent="0.35">
      <c r="C41" s="20">
        <v>0.01</v>
      </c>
      <c r="D41" s="13"/>
      <c r="E41" s="14">
        <f>E40*C41</f>
        <v>323437158.23979998</v>
      </c>
      <c r="F41" s="18" t="s">
        <v>25</v>
      </c>
      <c r="G41" s="21"/>
    </row>
    <row r="42" spans="2:8" ht="18.600000000000001" x14ac:dyDescent="0.45">
      <c r="C42" s="2"/>
      <c r="D42" s="2"/>
      <c r="E42" s="2"/>
      <c r="F42" s="2"/>
      <c r="G42" s="2"/>
    </row>
    <row r="43" spans="2:8" ht="18.600000000000001" x14ac:dyDescent="0.45">
      <c r="C43" s="2"/>
      <c r="D43" s="2"/>
      <c r="E43" s="2"/>
      <c r="F43" s="2"/>
      <c r="G43" s="2"/>
    </row>
  </sheetData>
  <mergeCells count="17">
    <mergeCell ref="D14:E14"/>
    <mergeCell ref="C9:E9"/>
    <mergeCell ref="D10:E10"/>
    <mergeCell ref="D11:E11"/>
    <mergeCell ref="D12:E12"/>
    <mergeCell ref="D13:E13"/>
    <mergeCell ref="D15:E15"/>
    <mergeCell ref="D19:E19"/>
    <mergeCell ref="D21:E21"/>
    <mergeCell ref="D22:E22"/>
    <mergeCell ref="D23:E23"/>
    <mergeCell ref="D27:E27"/>
    <mergeCell ref="D28:E28"/>
    <mergeCell ref="C31:E31"/>
    <mergeCell ref="F35:G35"/>
    <mergeCell ref="D24:E24"/>
    <mergeCell ref="D25:E25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7B39-D49B-4456-88A0-105E1DCCD541}">
  <sheetPr>
    <pageSetUpPr fitToPage="1"/>
  </sheetPr>
  <dimension ref="B3:L44"/>
  <sheetViews>
    <sheetView view="pageBreakPreview" topLeftCell="A12" zoomScale="85" zoomScaleNormal="85" zoomScaleSheetLayoutView="85" workbookViewId="0">
      <selection activeCell="F27" sqref="F2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100</v>
      </c>
      <c r="F4" s="6" t="s">
        <v>2</v>
      </c>
      <c r="G4" s="24">
        <f>+E42</f>
        <v>323437158.23979998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F32</f>
        <v>498322304.18999994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101</v>
      </c>
      <c r="F6" s="7" t="s">
        <v>5</v>
      </c>
      <c r="G6" s="25">
        <f>G4-G5</f>
        <v>-174885145.95019996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-0.54070826896314161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8"/>
      <c r="D10" s="127"/>
      <c r="E10" s="127"/>
      <c r="F10" s="46"/>
      <c r="G10" s="47"/>
      <c r="H10" s="35"/>
    </row>
    <row r="11" spans="2:12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12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12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12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12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12" ht="20.399999999999999" x14ac:dyDescent="0.5">
      <c r="B16" s="34"/>
      <c r="C16" s="87" t="s">
        <v>107</v>
      </c>
      <c r="D16" s="133" t="s">
        <v>108</v>
      </c>
      <c r="E16" s="128"/>
      <c r="F16" s="97">
        <f>LK.7!F28</f>
        <v>34455723</v>
      </c>
      <c r="G16" s="47"/>
      <c r="H16" s="35"/>
      <c r="L16" s="104"/>
    </row>
    <row r="17" spans="2:12" ht="5.4" customHeight="1" thickBot="1" x14ac:dyDescent="0.55000000000000004">
      <c r="B17" s="34"/>
      <c r="C17" s="65"/>
      <c r="D17" s="88"/>
      <c r="E17" s="88"/>
      <c r="F17" s="89"/>
      <c r="G17" s="64"/>
      <c r="H17" s="35"/>
    </row>
    <row r="18" spans="2:12" ht="21.6" thickTop="1" thickBot="1" x14ac:dyDescent="0.55000000000000004">
      <c r="B18" s="34"/>
      <c r="C18" s="40"/>
      <c r="D18" s="29"/>
      <c r="E18" s="61" t="s">
        <v>14</v>
      </c>
      <c r="F18" s="62">
        <f>SUM(F12:F16)</f>
        <v>466507477.28999996</v>
      </c>
      <c r="G18" s="63">
        <f>G4-F18</f>
        <v>-143070319.05019999</v>
      </c>
      <c r="H18" s="35"/>
    </row>
    <row r="19" spans="2:12" ht="5.4" customHeight="1" thickTop="1" x14ac:dyDescent="0.5">
      <c r="B19" s="34"/>
      <c r="C19" s="68"/>
      <c r="D19" s="38"/>
      <c r="E19" s="69"/>
      <c r="F19" s="70"/>
      <c r="G19" s="71"/>
      <c r="H19" s="35"/>
    </row>
    <row r="20" spans="2:12" ht="21" x14ac:dyDescent="0.5">
      <c r="B20" s="34"/>
      <c r="C20" s="84"/>
      <c r="D20" s="118" t="s">
        <v>28</v>
      </c>
      <c r="E20" s="119"/>
      <c r="F20" s="90">
        <v>0</v>
      </c>
      <c r="G20" s="75"/>
      <c r="H20" s="35"/>
    </row>
    <row r="21" spans="2:12" ht="6" customHeight="1" x14ac:dyDescent="0.5">
      <c r="B21" s="34"/>
      <c r="C21" s="84"/>
      <c r="D21" s="76"/>
      <c r="E21" s="77"/>
      <c r="F21" s="90"/>
      <c r="G21" s="75"/>
      <c r="H21" s="35"/>
    </row>
    <row r="22" spans="2:12" ht="20.399999999999999" x14ac:dyDescent="0.5">
      <c r="B22" s="34"/>
      <c r="C22" s="67" t="s">
        <v>12</v>
      </c>
      <c r="D22" s="120" t="s">
        <v>27</v>
      </c>
      <c r="E22" s="121"/>
      <c r="F22" s="79" t="s">
        <v>29</v>
      </c>
      <c r="G22" s="72" t="s">
        <v>30</v>
      </c>
      <c r="H22" s="35"/>
      <c r="L22" s="105">
        <f>264666902+35000000+50000000+35000000+50985790</f>
        <v>435652692</v>
      </c>
    </row>
    <row r="23" spans="2:12" ht="19.8" x14ac:dyDescent="0.45">
      <c r="B23" s="34"/>
      <c r="C23" s="103"/>
      <c r="D23" s="122" t="s">
        <v>103</v>
      </c>
      <c r="E23" s="123"/>
      <c r="F23" s="94">
        <v>0</v>
      </c>
      <c r="G23" s="95">
        <v>0</v>
      </c>
      <c r="H23" s="35"/>
      <c r="L23" s="105"/>
    </row>
    <row r="24" spans="2:12" ht="19.8" customHeight="1" x14ac:dyDescent="0.45">
      <c r="B24" s="34"/>
      <c r="C24" s="85">
        <v>44854</v>
      </c>
      <c r="D24" s="134" t="s">
        <v>104</v>
      </c>
      <c r="E24" s="135"/>
      <c r="F24" s="94">
        <v>8785214.7100000009</v>
      </c>
      <c r="G24" s="95">
        <v>0</v>
      </c>
      <c r="H24" s="35"/>
      <c r="L24" s="105"/>
    </row>
    <row r="25" spans="2:12" ht="19.8" customHeight="1" x14ac:dyDescent="0.45">
      <c r="B25" s="34"/>
      <c r="C25" s="85">
        <v>44856</v>
      </c>
      <c r="D25" s="134" t="s">
        <v>105</v>
      </c>
      <c r="E25" s="135"/>
      <c r="F25" s="94">
        <v>20000000</v>
      </c>
      <c r="G25" s="95">
        <v>0</v>
      </c>
      <c r="H25" s="35"/>
      <c r="L25" s="105"/>
    </row>
    <row r="26" spans="2:12" ht="19.8" customHeight="1" x14ac:dyDescent="0.45">
      <c r="B26" s="34"/>
      <c r="C26" s="85">
        <v>44873</v>
      </c>
      <c r="D26" s="134" t="s">
        <v>106</v>
      </c>
      <c r="E26" s="135"/>
      <c r="F26" s="94">
        <v>3029612.19</v>
      </c>
      <c r="G26" s="95">
        <f>30000000-F26</f>
        <v>26970387.809999999</v>
      </c>
      <c r="H26" s="35"/>
      <c r="L26" s="105">
        <f>15000000-G26</f>
        <v>-11970387.809999999</v>
      </c>
    </row>
    <row r="27" spans="2:12" ht="7.8" customHeight="1" x14ac:dyDescent="0.5">
      <c r="B27" s="34"/>
      <c r="C27" s="85"/>
      <c r="D27" s="66"/>
      <c r="E27" s="82"/>
      <c r="F27" s="92"/>
      <c r="G27" s="93"/>
      <c r="H27" s="35"/>
      <c r="L27" s="39"/>
    </row>
    <row r="28" spans="2:12" ht="19.2" customHeight="1" x14ac:dyDescent="0.5">
      <c r="B28" s="34"/>
      <c r="C28" s="67" t="s">
        <v>12</v>
      </c>
      <c r="D28" s="124" t="s">
        <v>32</v>
      </c>
      <c r="E28" s="121"/>
      <c r="F28" s="79"/>
      <c r="G28" s="73"/>
      <c r="H28" s="35"/>
      <c r="L28" s="39">
        <v>3240937.71</v>
      </c>
    </row>
    <row r="29" spans="2:12" ht="21" x14ac:dyDescent="0.5">
      <c r="B29" s="34"/>
      <c r="C29" s="85">
        <v>44946</v>
      </c>
      <c r="D29" s="130" t="s">
        <v>102</v>
      </c>
      <c r="E29" s="131"/>
      <c r="F29" s="80">
        <v>31814826.899999999</v>
      </c>
      <c r="G29" s="74"/>
      <c r="H29" s="35"/>
    </row>
    <row r="30" spans="2:12" ht="21" x14ac:dyDescent="0.5">
      <c r="B30" s="34"/>
      <c r="C30" s="86"/>
      <c r="D30" s="43"/>
      <c r="E30" s="83" t="s">
        <v>13</v>
      </c>
      <c r="F30" s="81">
        <f>F29-SUM(F23:F26)</f>
        <v>0</v>
      </c>
      <c r="G30" s="44"/>
      <c r="H30" s="35"/>
      <c r="L30" s="1">
        <v>8785214.7100000009</v>
      </c>
    </row>
    <row r="31" spans="2:12" ht="10.199999999999999" customHeight="1" thickBot="1" x14ac:dyDescent="0.5">
      <c r="B31" s="34"/>
      <c r="C31" s="30"/>
      <c r="D31" s="29"/>
      <c r="E31" s="29"/>
      <c r="F31" s="29"/>
      <c r="G31" s="28"/>
      <c r="H31" s="35"/>
    </row>
    <row r="32" spans="2:12" ht="21" thickTop="1" x14ac:dyDescent="0.5">
      <c r="B32" s="34"/>
      <c r="C32" s="112" t="s">
        <v>15</v>
      </c>
      <c r="D32" s="113"/>
      <c r="E32" s="113"/>
      <c r="F32" s="49">
        <f>F18+F29</f>
        <v>498322304.18999994</v>
      </c>
      <c r="G32" s="50">
        <f>G4-F32</f>
        <v>-174885145.95019996</v>
      </c>
      <c r="H32" s="35"/>
      <c r="L32" s="101">
        <v>26970387.809999999</v>
      </c>
    </row>
    <row r="33" spans="2:8" ht="20.399999999999999" x14ac:dyDescent="0.5">
      <c r="B33" s="34"/>
      <c r="C33" s="51" t="s">
        <v>16</v>
      </c>
      <c r="D33" s="45"/>
      <c r="E33" s="52"/>
      <c r="F33" s="53"/>
      <c r="G33" s="54"/>
      <c r="H33" s="35"/>
    </row>
    <row r="34" spans="2:8" ht="21" x14ac:dyDescent="0.5">
      <c r="B34" s="34"/>
      <c r="C34" s="55" t="s">
        <v>17</v>
      </c>
      <c r="D34" s="56" t="s">
        <v>1</v>
      </c>
      <c r="E34" s="41">
        <f>F30</f>
        <v>0</v>
      </c>
      <c r="F34" s="53"/>
      <c r="G34" s="54"/>
      <c r="H34" s="35"/>
    </row>
    <row r="35" spans="2:8" ht="20.399999999999999" x14ac:dyDescent="0.5">
      <c r="B35" s="34"/>
      <c r="C35" s="55" t="s">
        <v>18</v>
      </c>
      <c r="D35" s="56" t="s">
        <v>1</v>
      </c>
      <c r="E35" s="57" t="s">
        <v>19</v>
      </c>
      <c r="F35" s="53"/>
      <c r="G35" s="54"/>
      <c r="H35" s="35"/>
    </row>
    <row r="36" spans="2:8" ht="20.399999999999999" x14ac:dyDescent="0.5">
      <c r="B36" s="34"/>
      <c r="C36" s="58" t="s">
        <v>20</v>
      </c>
      <c r="D36" s="59" t="s">
        <v>1</v>
      </c>
      <c r="E36" s="60" t="s">
        <v>55</v>
      </c>
      <c r="F36" s="114" t="s">
        <v>26</v>
      </c>
      <c r="G36" s="115"/>
      <c r="H36" s="35"/>
    </row>
    <row r="37" spans="2:8" ht="6" customHeight="1" x14ac:dyDescent="0.45">
      <c r="B37" s="36"/>
      <c r="C37" s="27"/>
      <c r="D37" s="27"/>
      <c r="E37" s="27"/>
      <c r="F37" s="27"/>
      <c r="G37" s="27"/>
      <c r="H37" s="37"/>
    </row>
    <row r="38" spans="2:8" ht="18.600000000000001" x14ac:dyDescent="0.45">
      <c r="C38" s="2"/>
      <c r="D38" s="2"/>
      <c r="E38" s="2"/>
      <c r="F38" s="2"/>
      <c r="G38" s="2"/>
    </row>
    <row r="39" spans="2:8" ht="19.8" x14ac:dyDescent="0.45">
      <c r="C39" s="12" t="s">
        <v>21</v>
      </c>
      <c r="D39" s="13"/>
      <c r="E39" s="14"/>
      <c r="F39" s="15"/>
      <c r="G39" s="2"/>
    </row>
    <row r="40" spans="2:8" ht="19.8" x14ac:dyDescent="0.35">
      <c r="C40" s="12"/>
      <c r="D40" s="13"/>
      <c r="E40" s="14"/>
      <c r="F40" s="16" t="s">
        <v>22</v>
      </c>
      <c r="G40" s="17">
        <v>15000000</v>
      </c>
    </row>
    <row r="41" spans="2:8" ht="19.8" x14ac:dyDescent="0.35">
      <c r="C41" s="12" t="s">
        <v>23</v>
      </c>
      <c r="D41" s="13"/>
      <c r="E41" s="14">
        <v>32343715823.98</v>
      </c>
      <c r="F41" s="18" t="s">
        <v>24</v>
      </c>
      <c r="G41" s="19"/>
    </row>
    <row r="42" spans="2:8" ht="19.8" x14ac:dyDescent="0.35">
      <c r="C42" s="20">
        <v>0.01</v>
      </c>
      <c r="D42" s="13"/>
      <c r="E42" s="14">
        <f>E41*C42</f>
        <v>323437158.23979998</v>
      </c>
      <c r="F42" s="18" t="s">
        <v>25</v>
      </c>
      <c r="G42" s="21"/>
    </row>
    <row r="43" spans="2:8" ht="18.600000000000001" x14ac:dyDescent="0.45">
      <c r="C43" s="2"/>
      <c r="D43" s="2"/>
      <c r="E43" s="2"/>
      <c r="F43" s="2"/>
      <c r="G43" s="2"/>
    </row>
    <row r="44" spans="2:8" ht="18.600000000000001" x14ac:dyDescent="0.45">
      <c r="C44" s="2"/>
      <c r="D44" s="2"/>
      <c r="E44" s="2"/>
      <c r="F44" s="2"/>
      <c r="G44" s="2"/>
    </row>
  </sheetData>
  <mergeCells count="18">
    <mergeCell ref="D24:E24"/>
    <mergeCell ref="D25:E25"/>
    <mergeCell ref="C9:E9"/>
    <mergeCell ref="D10:E10"/>
    <mergeCell ref="D11:E11"/>
    <mergeCell ref="D12:E12"/>
    <mergeCell ref="D13:E13"/>
    <mergeCell ref="D14:E14"/>
    <mergeCell ref="D15:E15"/>
    <mergeCell ref="D16:E16"/>
    <mergeCell ref="D20:E20"/>
    <mergeCell ref="D22:E22"/>
    <mergeCell ref="D23:E23"/>
    <mergeCell ref="D26:E26"/>
    <mergeCell ref="D28:E28"/>
    <mergeCell ref="D29:E29"/>
    <mergeCell ref="C32:E32"/>
    <mergeCell ref="F36:G36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E35F-669C-4191-92AB-F2C952C44A40}">
  <sheetPr>
    <pageSetUpPr fitToPage="1"/>
  </sheetPr>
  <dimension ref="B3:L46"/>
  <sheetViews>
    <sheetView view="pageBreakPreview" topLeftCell="A11" zoomScale="85" zoomScaleNormal="85" zoomScaleSheetLayoutView="85" workbookViewId="0">
      <selection activeCell="F31" sqref="F3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5.10937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.88671875" style="1" customWidth="1"/>
    <col min="9" max="11" width="8.88671875" style="1"/>
    <col min="12" max="12" width="19.33203125" style="1" bestFit="1" customWidth="1"/>
    <col min="13" max="13" width="15.21875" style="1" bestFit="1" customWidth="1"/>
    <col min="14" max="16384" width="8.88671875" style="1"/>
  </cols>
  <sheetData>
    <row r="3" spans="2:12" ht="6" customHeight="1" thickBot="1" x14ac:dyDescent="0.4">
      <c r="B3" s="31"/>
      <c r="C3" s="32"/>
      <c r="D3" s="32"/>
      <c r="E3" s="32"/>
      <c r="F3" s="32"/>
      <c r="G3" s="32"/>
      <c r="H3" s="33"/>
    </row>
    <row r="4" spans="2:12" ht="21" x14ac:dyDescent="0.5">
      <c r="B4" s="34"/>
      <c r="C4" s="6" t="s">
        <v>0</v>
      </c>
      <c r="D4" s="8" t="s">
        <v>1</v>
      </c>
      <c r="E4" s="3" t="s">
        <v>158</v>
      </c>
      <c r="F4" s="6" t="s">
        <v>2</v>
      </c>
      <c r="G4" s="24">
        <f>+E44</f>
        <v>323437158.23979998</v>
      </c>
      <c r="H4" s="35"/>
    </row>
    <row r="5" spans="2:12" ht="39.6" x14ac:dyDescent="0.5">
      <c r="B5" s="34"/>
      <c r="C5" s="7" t="s">
        <v>4</v>
      </c>
      <c r="D5" s="9" t="s">
        <v>1</v>
      </c>
      <c r="E5" s="5" t="s">
        <v>34</v>
      </c>
      <c r="F5" s="7" t="s">
        <v>9</v>
      </c>
      <c r="G5" s="25">
        <f>F34</f>
        <v>572382101.18999994</v>
      </c>
      <c r="H5" s="35"/>
    </row>
    <row r="6" spans="2:12" ht="21" x14ac:dyDescent="0.5">
      <c r="B6" s="34"/>
      <c r="C6" s="7" t="s">
        <v>3</v>
      </c>
      <c r="D6" s="9" t="s">
        <v>1</v>
      </c>
      <c r="E6" s="4" t="s">
        <v>116</v>
      </c>
      <c r="F6" s="7" t="s">
        <v>5</v>
      </c>
      <c r="G6" s="25">
        <f>G4-G5</f>
        <v>-248944942.95019996</v>
      </c>
      <c r="H6" s="35"/>
    </row>
    <row r="7" spans="2:12" ht="21" x14ac:dyDescent="0.5">
      <c r="B7" s="34"/>
      <c r="C7" s="10"/>
      <c r="D7" s="11"/>
      <c r="E7" s="11"/>
      <c r="F7" s="42" t="s">
        <v>6</v>
      </c>
      <c r="G7" s="26">
        <f>G6/G4</f>
        <v>-0.7696856610570062</v>
      </c>
      <c r="H7" s="35"/>
    </row>
    <row r="8" spans="2:12" ht="6" customHeight="1" x14ac:dyDescent="0.35">
      <c r="B8" s="34"/>
      <c r="H8" s="35"/>
    </row>
    <row r="9" spans="2:12" ht="20.399999999999999" x14ac:dyDescent="0.5">
      <c r="B9" s="34"/>
      <c r="C9" s="125" t="s">
        <v>10</v>
      </c>
      <c r="D9" s="126"/>
      <c r="E9" s="126"/>
      <c r="F9" s="22" t="s">
        <v>8</v>
      </c>
      <c r="G9" s="23" t="s">
        <v>7</v>
      </c>
      <c r="H9" s="35"/>
    </row>
    <row r="10" spans="2:12" ht="7.8" customHeight="1" x14ac:dyDescent="0.45">
      <c r="B10" s="34"/>
      <c r="C10" s="48"/>
      <c r="D10" s="127"/>
      <c r="E10" s="127"/>
      <c r="F10" s="46"/>
      <c r="G10" s="47"/>
      <c r="H10" s="35"/>
    </row>
    <row r="11" spans="2:12" ht="19.8" customHeight="1" x14ac:dyDescent="0.5">
      <c r="B11" s="34"/>
      <c r="C11" s="91" t="s">
        <v>31</v>
      </c>
      <c r="D11" s="118" t="s">
        <v>11</v>
      </c>
      <c r="E11" s="128"/>
      <c r="F11" s="78"/>
      <c r="G11" s="47"/>
      <c r="H11" s="35"/>
    </row>
    <row r="12" spans="2:12" ht="20.399999999999999" x14ac:dyDescent="0.5">
      <c r="B12" s="34"/>
      <c r="C12" s="87" t="s">
        <v>39</v>
      </c>
      <c r="D12" s="133" t="s">
        <v>40</v>
      </c>
      <c r="E12" s="128"/>
      <c r="F12" s="97">
        <f>LK.1!F24</f>
        <v>12191281</v>
      </c>
      <c r="G12" s="100"/>
      <c r="H12" s="35"/>
    </row>
    <row r="13" spans="2:12" ht="20.399999999999999" x14ac:dyDescent="0.5">
      <c r="B13" s="34"/>
      <c r="C13" s="87" t="s">
        <v>58</v>
      </c>
      <c r="D13" s="133" t="s">
        <v>59</v>
      </c>
      <c r="E13" s="128"/>
      <c r="F13" s="97">
        <f>LK.2!F29</f>
        <v>172418384.38999999</v>
      </c>
      <c r="G13" s="52"/>
      <c r="H13" s="35"/>
    </row>
    <row r="14" spans="2:12" ht="20.399999999999999" x14ac:dyDescent="0.5">
      <c r="B14" s="34"/>
      <c r="C14" s="87" t="s">
        <v>75</v>
      </c>
      <c r="D14" s="133" t="s">
        <v>76</v>
      </c>
      <c r="E14" s="128"/>
      <c r="F14" s="97">
        <f>LK.3!F27+LK.4!F27</f>
        <v>103309041.90000001</v>
      </c>
      <c r="G14" s="52"/>
      <c r="H14" s="35"/>
    </row>
    <row r="15" spans="2:12" ht="20.399999999999999" x14ac:dyDescent="0.5">
      <c r="B15" s="34"/>
      <c r="C15" s="87" t="s">
        <v>98</v>
      </c>
      <c r="D15" s="133" t="s">
        <v>99</v>
      </c>
      <c r="E15" s="128"/>
      <c r="F15" s="97">
        <f>LK.5!F28+LK.6!F27</f>
        <v>144133047</v>
      </c>
      <c r="G15" s="52"/>
      <c r="H15" s="35"/>
    </row>
    <row r="16" spans="2:12" ht="20.399999999999999" x14ac:dyDescent="0.5">
      <c r="B16" s="34"/>
      <c r="C16" s="87" t="s">
        <v>109</v>
      </c>
      <c r="D16" s="133" t="s">
        <v>119</v>
      </c>
      <c r="E16" s="128"/>
      <c r="F16" s="97">
        <f>LK.7!F28+LK.8!F29</f>
        <v>66270549.899999999</v>
      </c>
      <c r="G16" s="47"/>
      <c r="H16" s="35"/>
      <c r="L16" s="104"/>
    </row>
    <row r="17" spans="2:12" ht="5.4" customHeight="1" thickBot="1" x14ac:dyDescent="0.55000000000000004">
      <c r="B17" s="34"/>
      <c r="C17" s="65"/>
      <c r="D17" s="88"/>
      <c r="E17" s="88"/>
      <c r="F17" s="89"/>
      <c r="G17" s="64"/>
      <c r="H17" s="35"/>
    </row>
    <row r="18" spans="2:12" ht="21.6" thickTop="1" thickBot="1" x14ac:dyDescent="0.55000000000000004">
      <c r="B18" s="34"/>
      <c r="C18" s="40"/>
      <c r="D18" s="29"/>
      <c r="E18" s="61" t="s">
        <v>14</v>
      </c>
      <c r="F18" s="62">
        <f>SUM(F12:F16)</f>
        <v>498322304.18999994</v>
      </c>
      <c r="G18" s="63">
        <f>G4-F18</f>
        <v>-174885145.95019996</v>
      </c>
      <c r="H18" s="35"/>
    </row>
    <row r="19" spans="2:12" ht="5.4" customHeight="1" thickTop="1" x14ac:dyDescent="0.5">
      <c r="B19" s="34"/>
      <c r="C19" s="68"/>
      <c r="D19" s="38"/>
      <c r="E19" s="69"/>
      <c r="F19" s="70"/>
      <c r="G19" s="71"/>
      <c r="H19" s="35"/>
    </row>
    <row r="20" spans="2:12" ht="21" x14ac:dyDescent="0.5">
      <c r="B20" s="34"/>
      <c r="C20" s="84"/>
      <c r="D20" s="118" t="s">
        <v>28</v>
      </c>
      <c r="E20" s="119"/>
      <c r="F20" s="90">
        <v>0</v>
      </c>
      <c r="G20" s="75"/>
      <c r="H20" s="35"/>
    </row>
    <row r="21" spans="2:12" ht="6" customHeight="1" x14ac:dyDescent="0.5">
      <c r="B21" s="34"/>
      <c r="C21" s="84"/>
      <c r="D21" s="76"/>
      <c r="E21" s="77"/>
      <c r="F21" s="90"/>
      <c r="G21" s="75"/>
      <c r="H21" s="35"/>
    </row>
    <row r="22" spans="2:12" ht="20.399999999999999" x14ac:dyDescent="0.5">
      <c r="B22" s="34"/>
      <c r="C22" s="67" t="s">
        <v>12</v>
      </c>
      <c r="D22" s="120" t="s">
        <v>27</v>
      </c>
      <c r="E22" s="121"/>
      <c r="F22" s="79" t="s">
        <v>29</v>
      </c>
      <c r="G22" s="72" t="s">
        <v>30</v>
      </c>
      <c r="H22" s="35"/>
      <c r="L22" s="105">
        <f>264666902+35000000+50000000+35000000+50985790+60000000</f>
        <v>495652692</v>
      </c>
    </row>
    <row r="23" spans="2:12" ht="19.8" x14ac:dyDescent="0.45">
      <c r="B23" s="34"/>
      <c r="C23" s="103"/>
      <c r="D23" s="122" t="s">
        <v>111</v>
      </c>
      <c r="E23" s="123"/>
      <c r="F23" s="94">
        <v>0</v>
      </c>
      <c r="G23" s="95">
        <v>0</v>
      </c>
      <c r="H23" s="35"/>
      <c r="L23" s="105"/>
    </row>
    <row r="24" spans="2:12" ht="19.8" customHeight="1" x14ac:dyDescent="0.45">
      <c r="B24" s="34"/>
      <c r="C24" s="85">
        <v>44873</v>
      </c>
      <c r="D24" s="134" t="s">
        <v>112</v>
      </c>
      <c r="E24" s="135"/>
      <c r="F24" s="94">
        <v>26970387.809999999</v>
      </c>
      <c r="G24" s="95">
        <v>0</v>
      </c>
      <c r="H24" s="35"/>
      <c r="L24" s="105"/>
    </row>
    <row r="25" spans="2:12" ht="19.8" customHeight="1" x14ac:dyDescent="0.45">
      <c r="B25" s="34"/>
      <c r="C25" s="85">
        <v>44880</v>
      </c>
      <c r="D25" s="134" t="s">
        <v>113</v>
      </c>
      <c r="E25" s="135"/>
      <c r="F25" s="94">
        <v>22500000</v>
      </c>
      <c r="G25" s="95">
        <v>0</v>
      </c>
      <c r="H25" s="35"/>
      <c r="L25" s="105"/>
    </row>
    <row r="26" spans="2:12" ht="19.8" customHeight="1" x14ac:dyDescent="0.45">
      <c r="B26" s="34"/>
      <c r="C26" s="85">
        <v>44901</v>
      </c>
      <c r="D26" s="134" t="s">
        <v>114</v>
      </c>
      <c r="E26" s="135"/>
      <c r="F26" s="94">
        <v>17599900</v>
      </c>
      <c r="G26" s="95">
        <v>0</v>
      </c>
      <c r="H26" s="35"/>
      <c r="L26" s="105"/>
    </row>
    <row r="27" spans="2:12" ht="19.8" customHeight="1" x14ac:dyDescent="0.45">
      <c r="B27" s="34"/>
      <c r="C27" s="85">
        <v>44902</v>
      </c>
      <c r="D27" s="134" t="s">
        <v>115</v>
      </c>
      <c r="E27" s="135"/>
      <c r="F27" s="94">
        <v>6494509.1900000004</v>
      </c>
      <c r="G27" s="95">
        <f>9700717-F27</f>
        <v>3206207.8099999996</v>
      </c>
      <c r="H27" s="35"/>
      <c r="L27" s="105"/>
    </row>
    <row r="28" spans="2:12" ht="19.8" customHeight="1" x14ac:dyDescent="0.45">
      <c r="B28" s="34"/>
      <c r="C28" s="85">
        <v>44937</v>
      </c>
      <c r="D28" s="134" t="s">
        <v>157</v>
      </c>
      <c r="E28" s="135"/>
      <c r="F28" s="94">
        <v>495000</v>
      </c>
      <c r="G28" s="95">
        <f>75000000-51810979.99-F28</f>
        <v>22694020.009999998</v>
      </c>
      <c r="H28" s="35"/>
      <c r="L28" s="105">
        <f>15000000-G28</f>
        <v>-7694020.0099999979</v>
      </c>
    </row>
    <row r="29" spans="2:12" ht="7.8" customHeight="1" x14ac:dyDescent="0.5">
      <c r="B29" s="34"/>
      <c r="C29" s="85"/>
      <c r="D29" s="66"/>
      <c r="E29" s="82"/>
      <c r="F29" s="92"/>
      <c r="G29" s="93"/>
      <c r="H29" s="35"/>
      <c r="L29" s="39"/>
    </row>
    <row r="30" spans="2:12" ht="19.2" customHeight="1" x14ac:dyDescent="0.5">
      <c r="B30" s="34"/>
      <c r="C30" s="67" t="s">
        <v>12</v>
      </c>
      <c r="D30" s="124" t="s">
        <v>32</v>
      </c>
      <c r="E30" s="121"/>
      <c r="F30" s="79"/>
      <c r="G30" s="73"/>
      <c r="H30" s="35"/>
      <c r="L30" s="39">
        <v>3240937.71</v>
      </c>
    </row>
    <row r="31" spans="2:12" ht="21" x14ac:dyDescent="0.5">
      <c r="B31" s="34"/>
      <c r="C31" s="85">
        <v>45019</v>
      </c>
      <c r="D31" s="130" t="s">
        <v>120</v>
      </c>
      <c r="E31" s="131"/>
      <c r="F31" s="80">
        <v>74059797</v>
      </c>
      <c r="G31" s="74"/>
      <c r="H31" s="35"/>
    </row>
    <row r="32" spans="2:12" ht="21" x14ac:dyDescent="0.5">
      <c r="B32" s="34"/>
      <c r="C32" s="86"/>
      <c r="D32" s="43"/>
      <c r="E32" s="83" t="s">
        <v>13</v>
      </c>
      <c r="F32" s="81">
        <f>F31-SUM(F23:F28)</f>
        <v>0</v>
      </c>
      <c r="G32" s="44"/>
      <c r="H32" s="35"/>
      <c r="L32" s="1">
        <v>8785214.7100000009</v>
      </c>
    </row>
    <row r="33" spans="2:12" ht="10.199999999999999" customHeight="1" thickBot="1" x14ac:dyDescent="0.5">
      <c r="B33" s="34"/>
      <c r="C33" s="30"/>
      <c r="D33" s="29"/>
      <c r="E33" s="29"/>
      <c r="F33" s="29"/>
      <c r="G33" s="28"/>
      <c r="H33" s="35"/>
    </row>
    <row r="34" spans="2:12" ht="21" thickTop="1" x14ac:dyDescent="0.5">
      <c r="B34" s="34"/>
      <c r="C34" s="112" t="s">
        <v>15</v>
      </c>
      <c r="D34" s="113"/>
      <c r="E34" s="113"/>
      <c r="F34" s="49">
        <f>F18+F31</f>
        <v>572382101.18999994</v>
      </c>
      <c r="G34" s="50">
        <f>G4-F34</f>
        <v>-248944942.95019996</v>
      </c>
      <c r="H34" s="35"/>
      <c r="L34" s="101">
        <v>26970387.809999999</v>
      </c>
    </row>
    <row r="35" spans="2:12" ht="20.399999999999999" x14ac:dyDescent="0.5">
      <c r="B35" s="34"/>
      <c r="C35" s="51" t="s">
        <v>16</v>
      </c>
      <c r="D35" s="45"/>
      <c r="E35" s="52"/>
      <c r="F35" s="53"/>
      <c r="G35" s="54"/>
      <c r="H35" s="35"/>
    </row>
    <row r="36" spans="2:12" ht="21" x14ac:dyDescent="0.5">
      <c r="B36" s="34"/>
      <c r="C36" s="55" t="s">
        <v>17</v>
      </c>
      <c r="D36" s="56" t="s">
        <v>1</v>
      </c>
      <c r="E36" s="41">
        <f>F32</f>
        <v>0</v>
      </c>
      <c r="F36" s="53"/>
      <c r="G36" s="54"/>
      <c r="H36" s="35"/>
      <c r="L36" s="1">
        <v>22694020.010000002</v>
      </c>
    </row>
    <row r="37" spans="2:12" ht="20.399999999999999" x14ac:dyDescent="0.5">
      <c r="B37" s="34"/>
      <c r="C37" s="55" t="s">
        <v>18</v>
      </c>
      <c r="D37" s="56" t="s">
        <v>1</v>
      </c>
      <c r="E37" s="57" t="s">
        <v>19</v>
      </c>
      <c r="F37" s="53"/>
      <c r="G37" s="54"/>
      <c r="H37" s="35"/>
    </row>
    <row r="38" spans="2:12" ht="20.399999999999999" x14ac:dyDescent="0.5">
      <c r="B38" s="34"/>
      <c r="C38" s="58" t="s">
        <v>20</v>
      </c>
      <c r="D38" s="59" t="s">
        <v>1</v>
      </c>
      <c r="E38" s="60" t="s">
        <v>55</v>
      </c>
      <c r="F38" s="114" t="s">
        <v>26</v>
      </c>
      <c r="G38" s="115"/>
      <c r="H38" s="35"/>
    </row>
    <row r="39" spans="2:12" ht="6" customHeight="1" x14ac:dyDescent="0.45">
      <c r="B39" s="36"/>
      <c r="C39" s="27"/>
      <c r="D39" s="27"/>
      <c r="E39" s="27"/>
      <c r="F39" s="27"/>
      <c r="G39" s="27"/>
      <c r="H39" s="37"/>
    </row>
    <row r="40" spans="2:12" ht="18.600000000000001" x14ac:dyDescent="0.45">
      <c r="C40" s="2"/>
      <c r="D40" s="2"/>
      <c r="E40" s="2"/>
      <c r="F40" s="2"/>
      <c r="G40" s="2"/>
    </row>
    <row r="41" spans="2:12" ht="19.8" x14ac:dyDescent="0.45">
      <c r="C41" s="12" t="s">
        <v>21</v>
      </c>
      <c r="D41" s="13"/>
      <c r="E41" s="14"/>
      <c r="F41" s="15"/>
      <c r="G41" s="2"/>
    </row>
    <row r="42" spans="2:12" ht="19.8" x14ac:dyDescent="0.35">
      <c r="C42" s="12"/>
      <c r="D42" s="13"/>
      <c r="E42" s="14"/>
      <c r="F42" s="16" t="s">
        <v>22</v>
      </c>
      <c r="G42" s="17">
        <v>15000000</v>
      </c>
    </row>
    <row r="43" spans="2:12" ht="19.8" x14ac:dyDescent="0.35">
      <c r="C43" s="12" t="s">
        <v>23</v>
      </c>
      <c r="D43" s="13"/>
      <c r="E43" s="14">
        <v>32343715823.98</v>
      </c>
      <c r="F43" s="18" t="s">
        <v>24</v>
      </c>
      <c r="G43" s="19"/>
    </row>
    <row r="44" spans="2:12" ht="19.8" x14ac:dyDescent="0.35">
      <c r="C44" s="20">
        <v>0.01</v>
      </c>
      <c r="D44" s="13"/>
      <c r="E44" s="14">
        <f>E43*C44</f>
        <v>323437158.23979998</v>
      </c>
      <c r="F44" s="18" t="s">
        <v>25</v>
      </c>
      <c r="G44" s="21"/>
    </row>
    <row r="45" spans="2:12" ht="18.600000000000001" x14ac:dyDescent="0.45">
      <c r="C45" s="2"/>
      <c r="D45" s="2"/>
      <c r="E45" s="2"/>
      <c r="F45" s="2"/>
      <c r="G45" s="2"/>
    </row>
    <row r="46" spans="2:12" ht="18.600000000000001" x14ac:dyDescent="0.45">
      <c r="C46" s="2"/>
      <c r="D46" s="2"/>
      <c r="E46" s="2"/>
      <c r="F46" s="2"/>
      <c r="G46" s="2"/>
    </row>
  </sheetData>
  <mergeCells count="20">
    <mergeCell ref="F38:G38"/>
    <mergeCell ref="D25:E25"/>
    <mergeCell ref="D26:E26"/>
    <mergeCell ref="D15:E15"/>
    <mergeCell ref="D16:E16"/>
    <mergeCell ref="D20:E20"/>
    <mergeCell ref="D22:E22"/>
    <mergeCell ref="D23:E23"/>
    <mergeCell ref="D24:E24"/>
    <mergeCell ref="D28:E28"/>
    <mergeCell ref="D30:E30"/>
    <mergeCell ref="D31:E31"/>
    <mergeCell ref="C34:E34"/>
    <mergeCell ref="D14:E14"/>
    <mergeCell ref="D27:E27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LK.1</vt:lpstr>
      <vt:lpstr>LK.2</vt:lpstr>
      <vt:lpstr>LK.3</vt:lpstr>
      <vt:lpstr>LK.4</vt:lpstr>
      <vt:lpstr>LK.5</vt:lpstr>
      <vt:lpstr>LK.6</vt:lpstr>
      <vt:lpstr>LK.7</vt:lpstr>
      <vt:lpstr>LK.8</vt:lpstr>
      <vt:lpstr>LK.9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LK.18</vt:lpstr>
      <vt:lpstr>LK.19</vt:lpstr>
      <vt:lpstr>LK.20</vt:lpstr>
      <vt:lpstr>LK.21</vt:lpstr>
      <vt:lpstr>LK.22</vt:lpstr>
      <vt:lpstr>LK.23</vt:lpstr>
      <vt:lpstr>LK.1!Print_Area</vt:lpstr>
      <vt:lpstr>LK.10!Print_Area</vt:lpstr>
      <vt:lpstr>LK.11!Print_Area</vt:lpstr>
      <vt:lpstr>LK.12!Print_Area</vt:lpstr>
      <vt:lpstr>LK.13!Print_Area</vt:lpstr>
      <vt:lpstr>LK.14!Print_Area</vt:lpstr>
      <vt:lpstr>LK.15!Print_Area</vt:lpstr>
      <vt:lpstr>LK.16!Print_Area</vt:lpstr>
      <vt:lpstr>LK.17!Print_Area</vt:lpstr>
      <vt:lpstr>LK.18!Print_Area</vt:lpstr>
      <vt:lpstr>LK.19!Print_Area</vt:lpstr>
      <vt:lpstr>LK.2!Print_Area</vt:lpstr>
      <vt:lpstr>LK.20!Print_Area</vt:lpstr>
      <vt:lpstr>LK.21!Print_Area</vt:lpstr>
      <vt:lpstr>LK.22!Print_Area</vt:lpstr>
      <vt:lpstr>LK.23!Print_Area</vt:lpstr>
      <vt:lpstr>LK.3!Print_Area</vt:lpstr>
      <vt:lpstr>LK.4!Print_Area</vt:lpstr>
      <vt:lpstr>LK.5!Print_Area</vt:lpstr>
      <vt:lpstr>LK.6!Print_Area</vt:lpstr>
      <vt:lpstr>LK.7!Print_Area</vt:lpstr>
      <vt:lpstr>LK.8!Print_Area</vt:lpstr>
      <vt:lpstr>LK.9!Print_Area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2023-09-14T06:50:33Z</cp:lastPrinted>
  <dcterms:created xsi:type="dcterms:W3CDTF">2022-10-10T04:50:18Z</dcterms:created>
  <dcterms:modified xsi:type="dcterms:W3CDTF">2023-09-14T07:11:32Z</dcterms:modified>
</cp:coreProperties>
</file>