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15" yWindow="2310" windowWidth="18255" windowHeight="10125" tabRatio="873"/>
  </bookViews>
  <sheets>
    <sheet name="SKLADOVE" sheetId="5" r:id="rId1"/>
  </sheets>
  <definedNames>
    <definedName name="_xlnm._FilterDatabase" localSheetId="0" hidden="1">SKLADOVE!$A$1:$D$462</definedName>
  </definedNames>
  <calcPr calcId="145621"/>
</workbook>
</file>

<file path=xl/calcChain.xml><?xml version="1.0" encoding="utf-8"?>
<calcChain xmlns="http://schemas.openxmlformats.org/spreadsheetml/2006/main">
  <c r="D143" i="5" l="1"/>
  <c r="D236" i="5"/>
  <c r="D104" i="5"/>
  <c r="D96" i="5"/>
  <c r="D281" i="5"/>
  <c r="D283" i="5"/>
  <c r="D153" i="5"/>
  <c r="D131" i="5"/>
  <c r="D68" i="5"/>
  <c r="D97" i="5"/>
  <c r="D284" i="5"/>
  <c r="D257" i="5"/>
  <c r="D256" i="5"/>
  <c r="D259" i="5"/>
  <c r="D167" i="5"/>
  <c r="D228" i="5"/>
  <c r="D98" i="5"/>
  <c r="D35" i="5"/>
  <c r="D63" i="5"/>
  <c r="D47" i="5"/>
  <c r="D36" i="5"/>
  <c r="D53" i="5"/>
  <c r="D59" i="5"/>
  <c r="D215" i="5"/>
  <c r="D223" i="5"/>
  <c r="D39" i="5"/>
  <c r="D273" i="5"/>
  <c r="D277" i="5"/>
  <c r="D278" i="5"/>
  <c r="D152" i="5"/>
  <c r="D136" i="5"/>
  <c r="D135" i="5"/>
  <c r="D127" i="5"/>
  <c r="D37" i="5"/>
  <c r="D274" i="5"/>
  <c r="D369" i="5"/>
  <c r="D265" i="5"/>
  <c r="D275" i="5"/>
  <c r="D237" i="5"/>
  <c r="D116" i="5"/>
  <c r="D110" i="5"/>
  <c r="D264" i="5"/>
  <c r="D235" i="5"/>
  <c r="D200" i="5"/>
  <c r="D201" i="5"/>
  <c r="D202" i="5"/>
  <c r="D183" i="5"/>
  <c r="D176" i="5"/>
  <c r="D172" i="5"/>
  <c r="D41" i="5"/>
  <c r="D29" i="5"/>
  <c r="D130" i="5"/>
  <c r="D293" i="5"/>
  <c r="D301" i="5"/>
  <c r="D346" i="5"/>
  <c r="D298" i="5"/>
  <c r="D252" i="5"/>
  <c r="D290" i="5"/>
  <c r="D74" i="5"/>
  <c r="D81" i="5"/>
  <c r="D142" i="5"/>
  <c r="D42" i="5"/>
  <c r="D25" i="5"/>
  <c r="D38" i="5"/>
  <c r="D49" i="5"/>
  <c r="D318" i="5"/>
  <c r="D45" i="5"/>
  <c r="D332" i="5"/>
  <c r="D146" i="5"/>
  <c r="D44" i="5"/>
  <c r="D249" i="5"/>
  <c r="D250" i="5"/>
  <c r="D299" i="5"/>
  <c r="D245" i="5"/>
  <c r="D258" i="5"/>
  <c r="D314" i="5"/>
  <c r="D55" i="5"/>
  <c r="D95" i="5"/>
  <c r="D103" i="5"/>
  <c r="D102" i="5"/>
  <c r="D145" i="5"/>
  <c r="D46" i="5"/>
  <c r="D43" i="5"/>
  <c r="D40" i="5"/>
  <c r="D27" i="5"/>
  <c r="D26" i="5"/>
  <c r="D325" i="5"/>
  <c r="D355" i="5"/>
  <c r="D101" i="5"/>
  <c r="D263" i="5"/>
  <c r="D286" i="5"/>
  <c r="D313" i="5"/>
  <c r="D229" i="5"/>
  <c r="D48" i="5"/>
  <c r="D126" i="5"/>
  <c r="D295" i="5"/>
  <c r="D266" i="5"/>
  <c r="D243" i="5"/>
  <c r="D148" i="5"/>
  <c r="D198" i="5"/>
  <c r="D122" i="5"/>
  <c r="D147" i="5"/>
  <c r="D99" i="5"/>
  <c r="D62" i="5"/>
  <c r="D32" i="5"/>
  <c r="D312" i="5"/>
  <c r="D185" i="5"/>
  <c r="D254" i="5"/>
  <c r="D12" i="5"/>
  <c r="D18" i="5"/>
  <c r="D242" i="5"/>
  <c r="D151" i="5"/>
  <c r="D285" i="5"/>
  <c r="D288" i="5"/>
  <c r="D320" i="5"/>
  <c r="D323" i="5"/>
  <c r="D324" i="5"/>
  <c r="D54" i="5"/>
  <c r="D56" i="5"/>
  <c r="D71" i="5"/>
  <c r="D317" i="5"/>
  <c r="D19" i="5"/>
  <c r="D57" i="5"/>
  <c r="D76" i="5"/>
  <c r="D184" i="5"/>
  <c r="D141" i="5"/>
  <c r="D14" i="5"/>
  <c r="D287" i="5"/>
  <c r="D311" i="5"/>
  <c r="D321" i="5"/>
  <c r="D140" i="5"/>
  <c r="D349" i="5"/>
  <c r="D5" i="5"/>
  <c r="D75" i="5"/>
  <c r="D316" i="5"/>
  <c r="D304" i="5"/>
  <c r="D308" i="5"/>
  <c r="D262" i="5"/>
  <c r="D401" i="5"/>
  <c r="D339" i="5"/>
  <c r="D344" i="5"/>
  <c r="D336" i="5"/>
  <c r="D105" i="5"/>
  <c r="D30" i="5"/>
  <c r="D128" i="5"/>
  <c r="D289" i="5"/>
  <c r="D294" i="5"/>
  <c r="D4" i="5"/>
  <c r="D282" i="5"/>
  <c r="D70" i="5"/>
  <c r="D64" i="5"/>
  <c r="D291" i="5"/>
  <c r="D240" i="5"/>
  <c r="D296" i="5"/>
  <c r="D280" i="5"/>
  <c r="D270" i="5"/>
  <c r="D28" i="5"/>
  <c r="D88" i="5"/>
  <c r="D124" i="5"/>
  <c r="D67" i="5"/>
  <c r="D360" i="5"/>
  <c r="D162" i="5"/>
  <c r="D164" i="5"/>
  <c r="D22" i="5"/>
  <c r="D9" i="5"/>
  <c r="D2" i="5"/>
  <c r="D13" i="5"/>
  <c r="D149" i="5"/>
  <c r="D90" i="5"/>
  <c r="D255" i="5"/>
  <c r="D272" i="5"/>
  <c r="D306" i="5"/>
  <c r="D292" i="5"/>
  <c r="D413" i="5"/>
  <c r="D411" i="5"/>
  <c r="D410" i="5"/>
  <c r="D310" i="5"/>
  <c r="D166" i="5"/>
  <c r="D300" i="5"/>
  <c r="D297" i="5"/>
  <c r="D87" i="5"/>
  <c r="D279" i="5"/>
  <c r="D89" i="5"/>
  <c r="D150" i="5"/>
  <c r="D227" i="5"/>
  <c r="D106" i="5"/>
  <c r="D100" i="5"/>
  <c r="D60" i="5"/>
  <c r="D85" i="5"/>
  <c r="D73" i="5"/>
  <c r="D213" i="5"/>
  <c r="D206" i="5"/>
  <c r="D58" i="5"/>
  <c r="D315" i="5"/>
  <c r="D6" i="5"/>
  <c r="D319" i="5"/>
  <c r="D10" i="5"/>
  <c r="D17" i="5"/>
  <c r="D61" i="5"/>
  <c r="D347" i="5"/>
  <c r="D384" i="5"/>
  <c r="D393" i="5"/>
  <c r="D238" i="5"/>
  <c r="D248" i="5"/>
  <c r="D15" i="5"/>
  <c r="D372" i="5"/>
  <c r="D181" i="5"/>
  <c r="D107" i="5"/>
  <c r="D328" i="5"/>
  <c r="D268" i="5"/>
  <c r="D139" i="5"/>
  <c r="D50" i="5"/>
  <c r="D253" i="5"/>
  <c r="D144" i="5"/>
  <c r="D120" i="5"/>
  <c r="D370" i="5"/>
  <c r="D108" i="5"/>
  <c r="D342" i="5"/>
  <c r="D368" i="5"/>
  <c r="D383" i="5"/>
  <c r="D251" i="5"/>
  <c r="D168" i="5"/>
  <c r="D34" i="5"/>
  <c r="D302" i="5"/>
  <c r="D247" i="5"/>
  <c r="D195" i="5"/>
  <c r="D305" i="5"/>
  <c r="D303" i="5"/>
  <c r="D267" i="5"/>
  <c r="D93" i="5"/>
  <c r="D392" i="5"/>
  <c r="D155" i="5"/>
  <c r="D109" i="5"/>
  <c r="D337" i="5"/>
  <c r="D199" i="5"/>
  <c r="D203" i="5"/>
  <c r="D94" i="5"/>
  <c r="D154" i="5"/>
  <c r="D219" i="5"/>
  <c r="D405" i="5"/>
  <c r="D395" i="5"/>
  <c r="D399" i="5"/>
  <c r="D364" i="5"/>
  <c r="D375" i="5"/>
  <c r="D187" i="5"/>
  <c r="D381" i="5"/>
  <c r="D169" i="5"/>
  <c r="D174" i="5"/>
  <c r="D182" i="5"/>
  <c r="D216" i="5"/>
  <c r="D234" i="5"/>
  <c r="D7" i="5"/>
  <c r="D165" i="5"/>
  <c r="D156" i="5"/>
  <c r="D239" i="5"/>
  <c r="D271" i="5"/>
  <c r="D221" i="5"/>
  <c r="D226" i="5"/>
  <c r="D453" i="5"/>
  <c r="D329" i="5"/>
  <c r="D409" i="5"/>
  <c r="D458" i="5"/>
  <c r="D3" i="5"/>
  <c r="D382" i="5"/>
  <c r="D356" i="5"/>
  <c r="D123" i="5"/>
  <c r="D394" i="5"/>
  <c r="D400" i="5"/>
  <c r="D92" i="5"/>
  <c r="D232" i="5"/>
  <c r="D403" i="5"/>
  <c r="D82" i="5"/>
  <c r="D16" i="5"/>
  <c r="D20" i="5"/>
  <c r="D121" i="5"/>
  <c r="D138" i="5"/>
  <c r="D354" i="5"/>
  <c r="D193" i="5"/>
  <c r="D137" i="5"/>
  <c r="D359" i="5"/>
  <c r="D157" i="5"/>
  <c r="D366" i="5"/>
  <c r="D373" i="5"/>
  <c r="D371" i="5"/>
  <c r="D222" i="5"/>
  <c r="D115" i="5"/>
  <c r="D23" i="5"/>
  <c r="D132" i="5"/>
  <c r="D333" i="5"/>
  <c r="D386" i="5"/>
  <c r="D225" i="5"/>
  <c r="D217" i="5"/>
  <c r="D218" i="5"/>
  <c r="D358" i="5"/>
  <c r="D388" i="5"/>
  <c r="D69" i="5"/>
  <c r="D134" i="5"/>
  <c r="D241" i="5"/>
  <c r="D365" i="5"/>
  <c r="D65" i="5"/>
  <c r="D378" i="5"/>
  <c r="D24" i="5"/>
  <c r="D111" i="5"/>
</calcChain>
</file>

<file path=xl/comments1.xml><?xml version="1.0" encoding="utf-8"?>
<comments xmlns="http://schemas.openxmlformats.org/spreadsheetml/2006/main">
  <authors>
    <author>user</author>
    <author>Veselin Vladov</author>
    <author>Vesko</author>
  </authors>
  <commentList>
    <comment ref="C234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- 1 бр.</t>
        </r>
      </text>
    </comment>
    <comment ref="C23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8x1500x6000 - 1 бр.
парчета</t>
        </r>
      </text>
    </comment>
    <comment ref="C23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23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12x1500x6000 - 1 бр.
парче - 1 бр.</t>
        </r>
      </text>
    </comment>
    <comment ref="C24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12х2000х6000 - 1 бр.</t>
        </r>
      </text>
    </comment>
    <comment ref="C241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4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47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парче - 1 бр.
50x1500x1100 - 1 бр.</t>
        </r>
      </text>
    </comment>
    <comment ref="C24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60x2000x6000 - 1 бр.
60x1300x6000 - 1 бр.- 3790 кг.
Г-форма - 1 бр. - 
парче - 2 бр.</t>
        </r>
      </text>
    </comment>
    <comment ref="C250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- 2 бр.</t>
        </r>
      </text>
    </comment>
    <comment ref="C25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53" authorId="2">
      <text>
        <r>
          <rPr>
            <b/>
            <sz val="9"/>
            <color indexed="81"/>
            <rFont val="Tahoma"/>
            <family val="2"/>
            <charset val="204"/>
          </rPr>
          <t>Vesko:</t>
        </r>
        <r>
          <rPr>
            <sz val="9"/>
            <color indexed="81"/>
            <rFont val="Tahoma"/>
            <family val="2"/>
            <charset val="204"/>
          </rPr>
          <t xml:space="preserve">
парче - 2 бр.
</t>
        </r>
      </text>
    </comment>
    <comment ref="C25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90x2000x6000 - 1 бр.
парче - 1 бр.</t>
        </r>
      </text>
    </comment>
    <comment ref="C25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парчета</t>
        </r>
      </text>
    </comment>
    <comment ref="C25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парчета</t>
        </r>
      </text>
    </comment>
    <comment ref="C25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5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
</t>
        </r>
      </text>
    </comment>
    <comment ref="C260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г-форма - 1 бр.</t>
        </r>
      </text>
    </comment>
    <comment ref="C261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С Г-форма - 1 бр.
</t>
        </r>
      </text>
    </comment>
    <comment ref="C26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</t>
        </r>
      </text>
    </comment>
    <comment ref="C26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26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6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- 1 бр.</t>
        </r>
      </text>
    </comment>
    <comment ref="C26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70х2000х6000 - 1 бр.
парче - 1 бр.</t>
        </r>
      </text>
    </comment>
    <comment ref="C26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- 1 бр.</t>
        </r>
      </text>
    </comment>
    <comment ref="C269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90x510x2400</t>
        </r>
      </text>
    </comment>
    <comment ref="C270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71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- 2 бр.
</t>
        </r>
      </text>
    </comment>
    <comment ref="C27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
</t>
        </r>
      </text>
    </comment>
    <comment ref="C273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7х2000х6000 - 3 бр.
парче - 1 бр.</t>
        </r>
      </text>
    </comment>
    <comment ref="C27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27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- 1 бр.</t>
        </r>
      </text>
    </comment>
    <comment ref="C28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28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84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8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28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 парчета</t>
        </r>
      </text>
    </comment>
    <comment ref="C287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65х2350х8000 - 1 бр. 9900 кг.
Парче - 2 бр.</t>
        </r>
      </text>
    </comment>
    <comment ref="C28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8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75x2000x6000 - 1 бр.
парче - 1 бр.</t>
        </r>
      </text>
    </comment>
    <comment ref="C290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1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- 1</t>
        </r>
      </text>
    </comment>
    <comment ref="C29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4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- 2 бр.</t>
        </r>
      </text>
    </comment>
    <comment ref="C29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29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парчета</t>
        </r>
      </text>
    </comment>
    <comment ref="C29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00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150x2000x2000
парче</t>
        </r>
      </text>
    </comment>
    <comment ref="C301" authorId="2">
      <text>
        <r>
          <rPr>
            <b/>
            <sz val="9"/>
            <color indexed="81"/>
            <rFont val="Tahoma"/>
            <family val="2"/>
            <charset val="204"/>
          </rPr>
          <t>Vesko:</t>
        </r>
        <r>
          <rPr>
            <sz val="9"/>
            <color indexed="81"/>
            <rFont val="Tahoma"/>
            <family val="2"/>
            <charset val="204"/>
          </rPr>
          <t xml:space="preserve">
парчета</t>
        </r>
      </text>
    </comment>
    <comment ref="C30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03" authorId="2">
      <text>
        <r>
          <rPr>
            <b/>
            <sz val="9"/>
            <color indexed="81"/>
            <rFont val="Tahoma"/>
            <family val="2"/>
            <charset val="204"/>
          </rPr>
          <t>Vesko:</t>
        </r>
        <r>
          <rPr>
            <sz val="9"/>
            <color indexed="81"/>
            <rFont val="Tahoma"/>
            <family val="2"/>
            <charset val="204"/>
          </rPr>
          <t xml:space="preserve">
180x130x1700 - 1</t>
        </r>
      </text>
    </comment>
    <comment ref="C304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парчета</t>
        </r>
      </text>
    </comment>
    <comment ref="C305" authorId="0">
      <text>
        <r>
          <rPr>
            <b/>
            <sz val="9"/>
            <color indexed="81"/>
            <rFont val="Tahoma"/>
            <family val="2"/>
            <charset val="204"/>
          </rPr>
          <t>user:
200х760х2000 - 1 бр.</t>
        </r>
      </text>
    </comment>
    <comment ref="C30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0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200х700х3000 - 1 бр.</t>
        </r>
      </text>
    </comment>
    <comment ref="C308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парчета</t>
        </r>
      </text>
    </comment>
    <comment ref="C309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3x425x1000 - 12 бр.
3х750х1000 - 38 бр.
3х1000х2000 - 4 бр.
3х1000х1000 - 14 бр.</t>
        </r>
      </text>
    </comment>
    <comment ref="C31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20x2000x5670
</t>
        </r>
      </text>
    </comment>
    <comment ref="C31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
</t>
        </r>
      </text>
    </comment>
    <comment ref="C314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С Г-форма - 1 бр.</t>
        </r>
      </text>
    </comment>
    <comment ref="C3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1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1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20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 - 4 бр.</t>
        </r>
      </text>
    </comment>
    <comment ref="C321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2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23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2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user:
</t>
        </r>
        <r>
          <rPr>
            <sz val="9"/>
            <color indexed="81"/>
            <rFont val="Tahoma"/>
            <family val="2"/>
            <charset val="204"/>
          </rPr>
          <t xml:space="preserve">парче
</t>
        </r>
      </text>
    </comment>
    <comment ref="C325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170x2040x390
170x3040x670</t>
        </r>
      </text>
    </comment>
    <comment ref="C326" authorId="1">
      <text>
        <r>
          <rPr>
            <b/>
            <sz val="9"/>
            <color indexed="81"/>
            <rFont val="Tahoma"/>
            <family val="2"/>
            <charset val="204"/>
          </rPr>
          <t>Veselin Vladov:
парче</t>
        </r>
      </text>
    </comment>
    <comment ref="C327" authorId="2">
      <text>
        <r>
          <rPr>
            <b/>
            <sz val="9"/>
            <color indexed="81"/>
            <rFont val="Tahoma"/>
            <family val="2"/>
            <charset val="204"/>
          </rPr>
          <t>Vesko:</t>
        </r>
        <r>
          <rPr>
            <sz val="9"/>
            <color indexed="81"/>
            <rFont val="Tahoma"/>
            <family val="2"/>
            <charset val="204"/>
          </rPr>
          <t xml:space="preserve">
170x1500x780 - 1 бр.</t>
        </r>
      </text>
    </comment>
    <comment ref="C32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170х2000х3000 - 2
170х2000х1500 - 1 бр.
парче - 1 бр.</t>
        </r>
      </text>
    </comment>
    <comment ref="C32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парче</t>
        </r>
      </text>
    </comment>
    <comment ref="C330" authorId="2">
      <text>
        <r>
          <rPr>
            <b/>
            <sz val="9"/>
            <color indexed="81"/>
            <rFont val="Tahoma"/>
            <family val="2"/>
            <charset val="204"/>
          </rPr>
          <t>Vesko:</t>
        </r>
        <r>
          <rPr>
            <sz val="9"/>
            <color indexed="81"/>
            <rFont val="Tahoma"/>
            <family val="2"/>
            <charset val="204"/>
          </rPr>
          <t xml:space="preserve">
180x1490x530</t>
        </r>
      </text>
    </comment>
    <comment ref="C33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10x2000x6000 - 1 бр.
</t>
        </r>
      </text>
    </comment>
    <comment ref="C337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Г - форма</t>
        </r>
      </text>
    </comment>
    <comment ref="C33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парче</t>
        </r>
      </text>
    </comment>
    <comment ref="C341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30x1500x2520
</t>
        </r>
      </text>
    </comment>
    <comment ref="C34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35x2000x3500</t>
        </r>
      </text>
    </comment>
    <comment ref="C343" authorId="1">
      <text>
        <r>
          <rPr>
            <b/>
            <sz val="9"/>
            <color indexed="81"/>
            <rFont val="Tahoma"/>
            <family val="2"/>
            <charset val="204"/>
          </rPr>
          <t>Veselin Vladov:</t>
        </r>
        <r>
          <rPr>
            <sz val="9"/>
            <color indexed="81"/>
            <rFont val="Tahoma"/>
            <family val="2"/>
            <charset val="204"/>
          </rPr>
          <t xml:space="preserve">
35x1500x1300</t>
        </r>
      </text>
    </comment>
    <comment ref="C34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40x2000x3000</t>
        </r>
      </text>
    </comment>
    <comment ref="C34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40x1500x4000 - 1 бр.
парче - 1 бр</t>
        </r>
      </text>
    </comment>
    <comment ref="C346" authorId="1">
      <text>
        <r>
          <rPr>
            <b/>
            <sz val="9"/>
            <color indexed="81"/>
            <rFont val="Tahoma"/>
            <family val="2"/>
            <charset val="204"/>
          </rPr>
          <t>Veselin Vladov:
парче</t>
        </r>
      </text>
    </comment>
    <comment ref="C394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210x310x2040 - 2 бр.
</t>
        </r>
      </text>
    </comment>
  </commentList>
</comments>
</file>

<file path=xl/sharedStrings.xml><?xml version="1.0" encoding="utf-8"?>
<sst xmlns="http://schemas.openxmlformats.org/spreadsheetml/2006/main" count="1334" uniqueCount="362">
  <si>
    <t>Марка стомана</t>
  </si>
  <si>
    <t>Количество кг.</t>
  </si>
  <si>
    <t>Ф 300</t>
  </si>
  <si>
    <t>194 х 17</t>
  </si>
  <si>
    <t>219 х 20</t>
  </si>
  <si>
    <t>Ф 200</t>
  </si>
  <si>
    <t>Ф 14</t>
  </si>
  <si>
    <t>Ф 130</t>
  </si>
  <si>
    <t>Ф 250</t>
  </si>
  <si>
    <t>Ф 160</t>
  </si>
  <si>
    <t>30x30</t>
  </si>
  <si>
    <t>Ф 180</t>
  </si>
  <si>
    <t>Ф 70</t>
  </si>
  <si>
    <t>35x35</t>
  </si>
  <si>
    <t>Ф 55</t>
  </si>
  <si>
    <t>Ф 230</t>
  </si>
  <si>
    <t>Ф 26</t>
  </si>
  <si>
    <t xml:space="preserve">Ф 32 </t>
  </si>
  <si>
    <t>Ф 20</t>
  </si>
  <si>
    <t>Ф 140</t>
  </si>
  <si>
    <t>Ф 220</t>
  </si>
  <si>
    <t>Ф 45</t>
  </si>
  <si>
    <t>Ф 50</t>
  </si>
  <si>
    <t>Ф 60</t>
  </si>
  <si>
    <t>40x40</t>
  </si>
  <si>
    <t>Ф 390</t>
  </si>
  <si>
    <t>Ф 120</t>
  </si>
  <si>
    <t>Ф 170</t>
  </si>
  <si>
    <t xml:space="preserve">Ф 22 </t>
  </si>
  <si>
    <t xml:space="preserve">Ф 25 </t>
  </si>
  <si>
    <t xml:space="preserve">Ф 20 </t>
  </si>
  <si>
    <t>Ф 34</t>
  </si>
  <si>
    <t>Ф 36</t>
  </si>
  <si>
    <t>Ф 38</t>
  </si>
  <si>
    <t>323,9х14,2</t>
  </si>
  <si>
    <t>Ф 100</t>
  </si>
  <si>
    <t>Ф 110</t>
  </si>
  <si>
    <t>Ф 90</t>
  </si>
  <si>
    <t>Ф 85</t>
  </si>
  <si>
    <t>Ф 150</t>
  </si>
  <si>
    <t>Ф 210</t>
  </si>
  <si>
    <t>Ф 65</t>
  </si>
  <si>
    <t>85x255</t>
  </si>
  <si>
    <t>Ф 270</t>
  </si>
  <si>
    <t>Г/в поцинкована шина</t>
  </si>
  <si>
    <t>40х4</t>
  </si>
  <si>
    <t>30х3</t>
  </si>
  <si>
    <t>Ф 260</t>
  </si>
  <si>
    <t>Ф 240</t>
  </si>
  <si>
    <t>273x17,5</t>
  </si>
  <si>
    <t>325x33</t>
  </si>
  <si>
    <t>30x100</t>
  </si>
  <si>
    <t>Ф 80</t>
  </si>
  <si>
    <t>Ф 550</t>
  </si>
  <si>
    <t>Ф 16</t>
  </si>
  <si>
    <t>Ф 25</t>
  </si>
  <si>
    <t>14x2000x6000</t>
  </si>
  <si>
    <t>25x50</t>
  </si>
  <si>
    <t xml:space="preserve">Ф 8 </t>
  </si>
  <si>
    <t>Ф 40</t>
  </si>
  <si>
    <t>Ф 15</t>
  </si>
  <si>
    <t>70x25</t>
  </si>
  <si>
    <t>110x30</t>
  </si>
  <si>
    <t>Ф 290</t>
  </si>
  <si>
    <t>0,6х1000х2000</t>
  </si>
  <si>
    <t>245х40</t>
  </si>
  <si>
    <t>55x55</t>
  </si>
  <si>
    <t>Ф 330</t>
  </si>
  <si>
    <t>8x1500x6000</t>
  </si>
  <si>
    <t>Ф 280</t>
  </si>
  <si>
    <t>Ф 320</t>
  </si>
  <si>
    <t>Ф 500</t>
  </si>
  <si>
    <t>219х20</t>
  </si>
  <si>
    <t>90x50</t>
  </si>
  <si>
    <t>Ф 370</t>
  </si>
  <si>
    <t>90x2000x6000</t>
  </si>
  <si>
    <t>7x2000x6000</t>
  </si>
  <si>
    <t>Ф 403</t>
  </si>
  <si>
    <t>10x2000x3000</t>
  </si>
  <si>
    <t xml:space="preserve"> Ф 18 </t>
  </si>
  <si>
    <t xml:space="preserve"> Ф 35 </t>
  </si>
  <si>
    <t>24х5</t>
  </si>
  <si>
    <t>Ф 360</t>
  </si>
  <si>
    <t>180х12</t>
  </si>
  <si>
    <t>146х14</t>
  </si>
  <si>
    <t>325х32</t>
  </si>
  <si>
    <t>89х4</t>
  </si>
  <si>
    <t>159х9</t>
  </si>
  <si>
    <t>159х6</t>
  </si>
  <si>
    <t>660x12</t>
  </si>
  <si>
    <t>273x24</t>
  </si>
  <si>
    <t>377x13</t>
  </si>
  <si>
    <t>273x20</t>
  </si>
  <si>
    <t>Ф 190</t>
  </si>
  <si>
    <t>Ф 10</t>
  </si>
  <si>
    <t>Ф 32</t>
  </si>
  <si>
    <t>Ф 225</t>
  </si>
  <si>
    <t>30х30</t>
  </si>
  <si>
    <t>25х25</t>
  </si>
  <si>
    <t>250х250</t>
  </si>
  <si>
    <t>273х7</t>
  </si>
  <si>
    <t>90x40</t>
  </si>
  <si>
    <t>Ф 314</t>
  </si>
  <si>
    <t>Ф 285</t>
  </si>
  <si>
    <t>120х80</t>
  </si>
  <si>
    <t>110х110</t>
  </si>
  <si>
    <t>168.3x7.1</t>
  </si>
  <si>
    <t>273х28</t>
  </si>
  <si>
    <t>325x20</t>
  </si>
  <si>
    <t>150x1800x4400</t>
  </si>
  <si>
    <t>шини</t>
  </si>
  <si>
    <t>квадрати</t>
  </si>
  <si>
    <t>тръби</t>
  </si>
  <si>
    <t>шестостен</t>
  </si>
  <si>
    <t>Ф 125</t>
  </si>
  <si>
    <t>40х20х2</t>
  </si>
  <si>
    <t>Ф 520</t>
  </si>
  <si>
    <t>Ф 530</t>
  </si>
  <si>
    <t>кръгъл прокат</t>
  </si>
  <si>
    <t>листова стомана</t>
  </si>
  <si>
    <t>Ф 620</t>
  </si>
  <si>
    <t>Ф 410</t>
  </si>
  <si>
    <t>1 1/2"</t>
  </si>
  <si>
    <t>2"</t>
  </si>
  <si>
    <t>3"</t>
  </si>
  <si>
    <t>1/2"</t>
  </si>
  <si>
    <t>5x1500x3000</t>
  </si>
  <si>
    <t>30x1500x6000</t>
  </si>
  <si>
    <t>16x2000x6000</t>
  </si>
  <si>
    <t>40x1500x6000</t>
  </si>
  <si>
    <t>100x1500x6000</t>
  </si>
  <si>
    <t>70x1710x5470</t>
  </si>
  <si>
    <t>80x1310x5700</t>
  </si>
  <si>
    <t>профил</t>
  </si>
  <si>
    <t>457х36</t>
  </si>
  <si>
    <t>140х10</t>
  </si>
  <si>
    <t>50х300</t>
  </si>
  <si>
    <t>HEB 300</t>
  </si>
  <si>
    <t>102x4</t>
  </si>
  <si>
    <t>80x2000x6000</t>
  </si>
  <si>
    <t>15x1500x6000</t>
  </si>
  <si>
    <t>55x1500x6000</t>
  </si>
  <si>
    <t>140x2000x6000</t>
  </si>
  <si>
    <t>3.5х5</t>
  </si>
  <si>
    <t>Ф 22</t>
  </si>
  <si>
    <t>65x2350x8000</t>
  </si>
  <si>
    <t>10x2000x6000</t>
  </si>
  <si>
    <t>Ф 400</t>
  </si>
  <si>
    <t>170x2250x4300</t>
  </si>
  <si>
    <t>Ф 30</t>
  </si>
  <si>
    <t>170x2000x6100</t>
  </si>
  <si>
    <t>193,7х12,5</t>
  </si>
  <si>
    <t>219,1х50</t>
  </si>
  <si>
    <t>267х60</t>
  </si>
  <si>
    <t>Ф 380</t>
  </si>
  <si>
    <t>Ф 450</t>
  </si>
  <si>
    <t>35x2000x6000</t>
  </si>
  <si>
    <t>60x2000x6000</t>
  </si>
  <si>
    <t>80х40</t>
  </si>
  <si>
    <t>арматура</t>
  </si>
  <si>
    <t>159х45</t>
  </si>
  <si>
    <t>426x25</t>
  </si>
  <si>
    <t>40х60</t>
  </si>
  <si>
    <t>Ф 600</t>
  </si>
  <si>
    <t>50x1500x6300</t>
  </si>
  <si>
    <t>35x1500x6000</t>
  </si>
  <si>
    <t>3x1000x2000</t>
  </si>
  <si>
    <t xml:space="preserve">Ф 38 </t>
  </si>
  <si>
    <t xml:space="preserve">Ф 50 </t>
  </si>
  <si>
    <t>110x2000x5700</t>
  </si>
  <si>
    <t>400x200x10</t>
  </si>
  <si>
    <t>170x2000x3590</t>
  </si>
  <si>
    <t>Ф 37</t>
  </si>
  <si>
    <t>Ф 350</t>
  </si>
  <si>
    <t>70x2000x6000</t>
  </si>
  <si>
    <t>27У</t>
  </si>
  <si>
    <t>5П</t>
  </si>
  <si>
    <t>20x2000x6000</t>
  </si>
  <si>
    <t>30х20х2</t>
  </si>
  <si>
    <t>винкел</t>
  </si>
  <si>
    <t>63х63х5</t>
  </si>
  <si>
    <t>Ф 525</t>
  </si>
  <si>
    <t>60x60</t>
  </si>
  <si>
    <t>170x2000x3800</t>
  </si>
  <si>
    <t>60х2000х6000</t>
  </si>
  <si>
    <t>70х2000х6000</t>
  </si>
  <si>
    <t>80х2000х6000</t>
  </si>
  <si>
    <t>100х2000х6000</t>
  </si>
  <si>
    <t>110х2000х6000</t>
  </si>
  <si>
    <t>140х2000х6000</t>
  </si>
  <si>
    <t>160х2000х6000</t>
  </si>
  <si>
    <t>180х2000х6000</t>
  </si>
  <si>
    <t>200х2000х6000</t>
  </si>
  <si>
    <t>150х2000х6000</t>
  </si>
  <si>
    <t>30х100</t>
  </si>
  <si>
    <t>Ф 9,5</t>
  </si>
  <si>
    <t>170x2000x3000</t>
  </si>
  <si>
    <t>Ф 35</t>
  </si>
  <si>
    <t>25х12</t>
  </si>
  <si>
    <t>UPN 240</t>
  </si>
  <si>
    <t>48х5</t>
  </si>
  <si>
    <t>67x12,5</t>
  </si>
  <si>
    <t>180x125</t>
  </si>
  <si>
    <t xml:space="preserve">Ф 15 </t>
  </si>
  <si>
    <t>6x2000x6000</t>
  </si>
  <si>
    <t>120х2000х5400</t>
  </si>
  <si>
    <t>Ф 310</t>
  </si>
  <si>
    <t>110х2000х5900</t>
  </si>
  <si>
    <t>200х2000х3000</t>
  </si>
  <si>
    <t>200х2000х6600</t>
  </si>
  <si>
    <t>Ф 42</t>
  </si>
  <si>
    <t>Ф 52</t>
  </si>
  <si>
    <t>210x310x2040</t>
  </si>
  <si>
    <t>190х2080х2500</t>
  </si>
  <si>
    <t>130x2000x5000</t>
  </si>
  <si>
    <t>180x2000x6400</t>
  </si>
  <si>
    <t>90х90х8</t>
  </si>
  <si>
    <t>90х2000х6000</t>
  </si>
  <si>
    <t>Ф 740</t>
  </si>
  <si>
    <t>Ф 560</t>
  </si>
  <si>
    <t>267х8</t>
  </si>
  <si>
    <t>37.2</t>
  </si>
  <si>
    <t>52.3</t>
  </si>
  <si>
    <t>S235JR</t>
  </si>
  <si>
    <t>S355J2</t>
  </si>
  <si>
    <t>S355J2G3</t>
  </si>
  <si>
    <t>41Cr4 + QT</t>
  </si>
  <si>
    <t>41Cr4</t>
  </si>
  <si>
    <t>40X</t>
  </si>
  <si>
    <t>51CrV4</t>
  </si>
  <si>
    <t>50ХФА</t>
  </si>
  <si>
    <t>16MnCr5</t>
  </si>
  <si>
    <t>20MnCr5</t>
  </si>
  <si>
    <t>4Х5МФС /1.2343/</t>
  </si>
  <si>
    <t>42CrMo4 + QT</t>
  </si>
  <si>
    <t>42CrMo4</t>
  </si>
  <si>
    <t>ШХ15</t>
  </si>
  <si>
    <t>100Cr6</t>
  </si>
  <si>
    <t>38Х2МЮА</t>
  </si>
  <si>
    <t>34CrNiMo6</t>
  </si>
  <si>
    <t>30ХМ</t>
  </si>
  <si>
    <t>30ХГТ</t>
  </si>
  <si>
    <t>30ХГСА</t>
  </si>
  <si>
    <t>25CrMoS4 + QT</t>
  </si>
  <si>
    <t>18ХГТ</t>
  </si>
  <si>
    <t>18NiCrMo5</t>
  </si>
  <si>
    <t>11SMnPb30 h11</t>
  </si>
  <si>
    <t>У8А</t>
  </si>
  <si>
    <t>У10А</t>
  </si>
  <si>
    <t>AISI 304</t>
  </si>
  <si>
    <t>X30Cr13+QT</t>
  </si>
  <si>
    <t>1.4028+QT</t>
  </si>
  <si>
    <t>1.4313+QT</t>
  </si>
  <si>
    <t>Al</t>
  </si>
  <si>
    <t>S235J2</t>
  </si>
  <si>
    <t>C45</t>
  </si>
  <si>
    <t>50CrV4</t>
  </si>
  <si>
    <t>S235JR+N</t>
  </si>
  <si>
    <t>S235J2+N</t>
  </si>
  <si>
    <t>S275JR</t>
  </si>
  <si>
    <t>S355JR</t>
  </si>
  <si>
    <t>S355J2+N</t>
  </si>
  <si>
    <t>P265GH</t>
  </si>
  <si>
    <t>P355NL1</t>
  </si>
  <si>
    <t>X6Cr13 /1.4000/</t>
  </si>
  <si>
    <t>AISI 321</t>
  </si>
  <si>
    <t>Ст 3</t>
  </si>
  <si>
    <t>С45</t>
  </si>
  <si>
    <t>Ст.37</t>
  </si>
  <si>
    <t>20G</t>
  </si>
  <si>
    <t>15ГС</t>
  </si>
  <si>
    <t>P235GH TC1</t>
  </si>
  <si>
    <t>X38CrMoV51</t>
  </si>
  <si>
    <t>X12</t>
  </si>
  <si>
    <t>DD11</t>
  </si>
  <si>
    <t>В500В</t>
  </si>
  <si>
    <t>Х13</t>
  </si>
  <si>
    <t>С60R</t>
  </si>
  <si>
    <t>Р6М5</t>
  </si>
  <si>
    <t>М25</t>
  </si>
  <si>
    <t>ДИ22</t>
  </si>
  <si>
    <t>ASTM А206</t>
  </si>
  <si>
    <t>90MnCrV8</t>
  </si>
  <si>
    <t>65Г</t>
  </si>
  <si>
    <t>4Х4ВМФС</t>
  </si>
  <si>
    <t>46CrMo13</t>
  </si>
  <si>
    <t>3Х3М3Ф</t>
  </si>
  <si>
    <t>38Х3МФ</t>
  </si>
  <si>
    <t>34CrNiMo6 + QT</t>
  </si>
  <si>
    <t>34CrMo4</t>
  </si>
  <si>
    <t>30ХФА</t>
  </si>
  <si>
    <t>30CrNiMo8 + QT</t>
  </si>
  <si>
    <t>25Х1МФ</t>
  </si>
  <si>
    <t>18Х2Н4ВН</t>
  </si>
  <si>
    <t>16ХГ</t>
  </si>
  <si>
    <t>15ХГ</t>
  </si>
  <si>
    <t>12ХН3А</t>
  </si>
  <si>
    <t>Х20Cr13 + QT</t>
  </si>
  <si>
    <t>Р18</t>
  </si>
  <si>
    <t xml:space="preserve">3Х3М </t>
  </si>
  <si>
    <t>12Х18Н9Т</t>
  </si>
  <si>
    <t>4ХНМ</t>
  </si>
  <si>
    <t>С45 h11</t>
  </si>
  <si>
    <t>50x50x6</t>
  </si>
  <si>
    <t>Ст. 3</t>
  </si>
  <si>
    <t>Ф 365</t>
  </si>
  <si>
    <t>35х2000х6000</t>
  </si>
  <si>
    <t>12х2000х6000</t>
  </si>
  <si>
    <t>16х2000х6000</t>
  </si>
  <si>
    <t>30х120</t>
  </si>
  <si>
    <t>20х70</t>
  </si>
  <si>
    <t>3сп/5</t>
  </si>
  <si>
    <t>Ф 420</t>
  </si>
  <si>
    <t>12x2000x6000</t>
  </si>
  <si>
    <t>12x1500x6000</t>
  </si>
  <si>
    <t>60х25</t>
  </si>
  <si>
    <t>60x1500x6000</t>
  </si>
  <si>
    <t>80x1500x6000</t>
  </si>
  <si>
    <t>325 х 14</t>
  </si>
  <si>
    <t>110x2000x6000</t>
  </si>
  <si>
    <t>180x2000x1500</t>
  </si>
  <si>
    <t>30x2000x6000</t>
  </si>
  <si>
    <t>C60 N</t>
  </si>
  <si>
    <t>42CrMo4 + UST</t>
  </si>
  <si>
    <t>5х1250х2500</t>
  </si>
  <si>
    <t>25x2000x12000</t>
  </si>
  <si>
    <t>75x75x7</t>
  </si>
  <si>
    <t>130x65x8</t>
  </si>
  <si>
    <t>10x1500x6000</t>
  </si>
  <si>
    <t>45x2000x6000</t>
  </si>
  <si>
    <t>25x2000x6000</t>
  </si>
  <si>
    <t>75х2000х6000</t>
  </si>
  <si>
    <t>С45 + UST</t>
  </si>
  <si>
    <t>Ф 750</t>
  </si>
  <si>
    <t>130x2200x2700</t>
  </si>
  <si>
    <t>14x1500x6000</t>
  </si>
  <si>
    <t>100х2000х8000</t>
  </si>
  <si>
    <t>244,5x12,5</t>
  </si>
  <si>
    <t>140х2000х5000</t>
  </si>
  <si>
    <t>100x2000x6000</t>
  </si>
  <si>
    <t>180x2000x3000</t>
  </si>
  <si>
    <t>390x770x3470</t>
  </si>
  <si>
    <t>20x2000x8000</t>
  </si>
  <si>
    <t>б 28</t>
  </si>
  <si>
    <t>40x2000x6000</t>
  </si>
  <si>
    <t>120х2000х6000</t>
  </si>
  <si>
    <t>Ф 430</t>
  </si>
  <si>
    <t>12х2420х11250</t>
  </si>
  <si>
    <t>AISI 310</t>
  </si>
  <si>
    <t>5x2000x6000</t>
  </si>
  <si>
    <t>Размер, мм</t>
  </si>
  <si>
    <t>50x2000x3000</t>
  </si>
  <si>
    <t>120x2000x5400</t>
  </si>
  <si>
    <t>S355J2H</t>
  </si>
  <si>
    <t>50x2000x6000</t>
  </si>
  <si>
    <t>С45E+Cr+N</t>
  </si>
  <si>
    <t>41Cr4 h11</t>
  </si>
  <si>
    <t>S235J2H</t>
  </si>
  <si>
    <t>75х75х2</t>
  </si>
  <si>
    <t xml:space="preserve">б9 - б18 </t>
  </si>
  <si>
    <t>120x1500x3300</t>
  </si>
  <si>
    <t>Ф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</si>
</sst>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9" formatCode="_(* #,##0.00_);_(* \(#,##0.00\);_(* &quot;-&quot;??_);_(@_)"/>
    <numFmt numFmtId="181" formatCode="_(* #,##0_);_(* \(#,##0\);_(* &quot;-&quot;??_);_(@_)"/>
    <numFmt numFmtId="185" formatCode="#,##0\ &quot;лв&quot;"/>
    <numFmt numFmtId="195" formatCode="0.0000"/>
    <numFmt numFmtId="204" formatCode="#,##0.0000"/>
  </numFmts>
  <fonts count="53" x14ac:knownFonts="1">
    <font>
      <sz val="10"/>
      <name val="Arial"/>
    </font>
    <font>
      <sz val="10"/>
      <name val="Arial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2" fillId="0" borderId="1" xfId="0" applyFont="1" applyFill="1" applyBorder="1" applyAlignment="1">
      <alignment horizontal="center"/>
    </xf>
    <xf numFmtId="181" fontId="2" fillId="0" borderId="1" xfId="1" applyNumberFormat="1" applyFont="1" applyFill="1" applyBorder="1"/>
    <xf numFmtId="195" fontId="4" fillId="0" borderId="1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95" fontId="4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181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85" fontId="2" fillId="0" borderId="2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3" fontId="2" fillId="0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/>
    </xf>
    <xf numFmtId="16" fontId="2" fillId="0" borderId="4" xfId="0" applyNumberFormat="1" applyFont="1" applyFill="1" applyBorder="1" applyAlignment="1">
      <alignment horizontal="center" vertical="center"/>
    </xf>
    <xf numFmtId="0" fontId="2" fillId="0" borderId="0" xfId="0" applyFont="1"/>
    <xf numFmtId="16" fontId="2" fillId="0" borderId="1" xfId="0" applyNumberFormat="1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16" fontId="4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" fontId="2" fillId="0" borderId="3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16" fontId="2" fillId="0" borderId="3" xfId="0" applyNumberFormat="1" applyFont="1" applyFill="1" applyBorder="1" applyAlignment="1">
      <alignment horizontal="center"/>
    </xf>
    <xf numFmtId="185" fontId="2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 wrapText="1"/>
    </xf>
    <xf numFmtId="16" fontId="4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181" fontId="2" fillId="0" borderId="2" xfId="1" applyNumberFormat="1" applyFont="1" applyFill="1" applyBorder="1"/>
    <xf numFmtId="195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195" fontId="2" fillId="0" borderId="1" xfId="0" applyNumberFormat="1" applyFont="1" applyFill="1" applyBorder="1" applyAlignment="1">
      <alignment horizontal="left"/>
    </xf>
    <xf numFmtId="204" fontId="2" fillId="0" borderId="1" xfId="0" applyNumberFormat="1" applyFont="1" applyFill="1" applyBorder="1" applyAlignment="1">
      <alignment horizontal="left"/>
    </xf>
    <xf numFmtId="181" fontId="2" fillId="2" borderId="1" xfId="1" applyNumberFormat="1" applyFont="1" applyFill="1" applyBorder="1"/>
    <xf numFmtId="181" fontId="2" fillId="0" borderId="0" xfId="1" applyNumberFormat="1" applyFont="1" applyFill="1"/>
    <xf numFmtId="0" fontId="2" fillId="0" borderId="2" xfId="0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1257300" y="0"/>
          <a:ext cx="7781925" cy="0"/>
        </a:xfrm>
        <a:prstGeom prst="rect">
          <a:avLst/>
        </a:prstGeom>
        <a:solidFill>
          <a:srgbClr val="FFFFFF">
            <a:alpha val="50000"/>
          </a:srgbClr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* EXPORT * IMPORT * TRADE *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1421 </a:t>
          </a:r>
          <a:r>
            <a:rPr lang="bg-BG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СОФИЯ, ул. “Теодосий Търновски” № 26, </a:t>
          </a:r>
        </a:p>
        <a:p>
          <a:pPr algn="l" rtl="0">
            <a:defRPr sz="1000"/>
          </a:pPr>
          <a:r>
            <a:rPr lang="bg-BG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тел.: 02/ 963 39 49; факс: 02/ 963 38 44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E-mail: mge2006@abv.bg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62"/>
  <sheetViews>
    <sheetView tabSelected="1" zoomScaleNormal="100" workbookViewId="0">
      <pane ySplit="1" topLeftCell="A2" activePane="bottomLeft" state="frozen"/>
      <selection pane="bottomLeft" activeCell="B470" sqref="B470"/>
    </sheetView>
  </sheetViews>
  <sheetFormatPr defaultRowHeight="18" x14ac:dyDescent="0.25"/>
  <cols>
    <col min="1" max="1" width="22.5703125" style="35" bestFit="1" customWidth="1"/>
    <col min="2" max="2" width="27.28515625" style="36" customWidth="1"/>
    <col min="3" max="3" width="24" style="34" customWidth="1"/>
    <col min="4" max="4" width="16.28515625" style="54" customWidth="1"/>
    <col min="5" max="16384" width="9.140625" style="1"/>
  </cols>
  <sheetData>
    <row r="1" spans="1:4" ht="75.75" customHeight="1" x14ac:dyDescent="0.25">
      <c r="A1" s="26"/>
      <c r="B1" s="19" t="s">
        <v>0</v>
      </c>
      <c r="C1" s="19" t="s">
        <v>350</v>
      </c>
      <c r="D1" s="55" t="s">
        <v>1</v>
      </c>
    </row>
    <row r="2" spans="1:4" s="3" customFormat="1" x14ac:dyDescent="0.25">
      <c r="A2" s="18" t="s">
        <v>118</v>
      </c>
      <c r="B2" s="13" t="s">
        <v>304</v>
      </c>
      <c r="C2" s="4" t="s">
        <v>59</v>
      </c>
      <c r="D2" s="5">
        <f>1000-2-12-4-14</f>
        <v>968</v>
      </c>
    </row>
    <row r="3" spans="1:4" s="3" customFormat="1" x14ac:dyDescent="0.25">
      <c r="A3" s="18" t="s">
        <v>118</v>
      </c>
      <c r="B3" s="13" t="s">
        <v>304</v>
      </c>
      <c r="C3" s="10" t="s">
        <v>22</v>
      </c>
      <c r="D3" s="5">
        <f>2010-14-20-6-154-2-6-2-9-18-2</f>
        <v>1777</v>
      </c>
    </row>
    <row r="4" spans="1:4" s="3" customFormat="1" x14ac:dyDescent="0.25">
      <c r="A4" s="18" t="s">
        <v>118</v>
      </c>
      <c r="B4" s="13" t="s">
        <v>304</v>
      </c>
      <c r="C4" s="10" t="s">
        <v>23</v>
      </c>
      <c r="D4" s="5">
        <f>1681-4-37-25</f>
        <v>1615</v>
      </c>
    </row>
    <row r="5" spans="1:4" s="3" customFormat="1" x14ac:dyDescent="0.25">
      <c r="A5" s="18" t="s">
        <v>118</v>
      </c>
      <c r="B5" s="13" t="s">
        <v>304</v>
      </c>
      <c r="C5" s="4" t="s">
        <v>12</v>
      </c>
      <c r="D5" s="5">
        <f>1530-14-6-4-10</f>
        <v>1496</v>
      </c>
    </row>
    <row r="6" spans="1:4" s="3" customFormat="1" x14ac:dyDescent="0.25">
      <c r="A6" s="18" t="s">
        <v>118</v>
      </c>
      <c r="B6" s="13" t="s">
        <v>304</v>
      </c>
      <c r="C6" s="4" t="s">
        <v>52</v>
      </c>
      <c r="D6" s="5">
        <f>1380-11-28-7-5-670-117</f>
        <v>542</v>
      </c>
    </row>
    <row r="7" spans="1:4" s="3" customFormat="1" x14ac:dyDescent="0.25">
      <c r="A7" s="18" t="s">
        <v>118</v>
      </c>
      <c r="B7" s="13" t="s">
        <v>304</v>
      </c>
      <c r="C7" s="4" t="s">
        <v>37</v>
      </c>
      <c r="D7" s="5">
        <f>1700-4-16-13</f>
        <v>1667</v>
      </c>
    </row>
    <row r="8" spans="1:4" s="3" customFormat="1" x14ac:dyDescent="0.25">
      <c r="A8" s="18" t="s">
        <v>118</v>
      </c>
      <c r="B8" s="13" t="s">
        <v>304</v>
      </c>
      <c r="C8" s="4" t="s">
        <v>35</v>
      </c>
      <c r="D8" s="5">
        <v>1369</v>
      </c>
    </row>
    <row r="9" spans="1:4" s="16" customFormat="1" x14ac:dyDescent="0.25">
      <c r="A9" s="18" t="s">
        <v>118</v>
      </c>
      <c r="B9" s="37" t="s">
        <v>221</v>
      </c>
      <c r="C9" s="38" t="s">
        <v>55</v>
      </c>
      <c r="D9" s="5">
        <f>199-11-6-27-4-2-2-25-1-3-1-4</f>
        <v>113</v>
      </c>
    </row>
    <row r="10" spans="1:4" s="16" customFormat="1" x14ac:dyDescent="0.25">
      <c r="A10" s="18" t="s">
        <v>118</v>
      </c>
      <c r="B10" s="37" t="s">
        <v>221</v>
      </c>
      <c r="C10" s="38" t="s">
        <v>95</v>
      </c>
      <c r="D10" s="5">
        <f>251-1-3</f>
        <v>247</v>
      </c>
    </row>
    <row r="11" spans="1:4" s="16" customFormat="1" x14ac:dyDescent="0.25">
      <c r="A11" s="18" t="s">
        <v>118</v>
      </c>
      <c r="B11" s="37" t="s">
        <v>221</v>
      </c>
      <c r="C11" s="38" t="s">
        <v>172</v>
      </c>
      <c r="D11" s="5">
        <v>575</v>
      </c>
    </row>
    <row r="12" spans="1:4" s="3" customFormat="1" x14ac:dyDescent="0.25">
      <c r="A12" s="18" t="s">
        <v>118</v>
      </c>
      <c r="B12" s="37" t="s">
        <v>221</v>
      </c>
      <c r="C12" s="4" t="s">
        <v>26</v>
      </c>
      <c r="D12" s="5">
        <f>880-25-186-41-6-9-9-32-18-58-24-27-72-31-3-16-33-131-14</f>
        <v>145</v>
      </c>
    </row>
    <row r="13" spans="1:4" s="3" customFormat="1" x14ac:dyDescent="0.25">
      <c r="A13" s="18" t="s">
        <v>118</v>
      </c>
      <c r="B13" s="37" t="s">
        <v>221</v>
      </c>
      <c r="C13" s="4" t="s">
        <v>7</v>
      </c>
      <c r="D13" s="5">
        <f>1410-18-31-19-16-13-15-13-33-15-9-164-21-40-11-18-20-19</f>
        <v>935</v>
      </c>
    </row>
    <row r="14" spans="1:4" s="3" customFormat="1" x14ac:dyDescent="0.25">
      <c r="A14" s="18" t="s">
        <v>118</v>
      </c>
      <c r="B14" s="37" t="s">
        <v>221</v>
      </c>
      <c r="C14" s="4" t="s">
        <v>39</v>
      </c>
      <c r="D14" s="5">
        <f>1916-132-122-98-126-19-50-18-13-19-8-366-710-3-18-21-19-27</f>
        <v>147</v>
      </c>
    </row>
    <row r="15" spans="1:4" s="3" customFormat="1" x14ac:dyDescent="0.25">
      <c r="A15" s="18" t="s">
        <v>118</v>
      </c>
      <c r="B15" s="37" t="s">
        <v>221</v>
      </c>
      <c r="C15" s="4" t="s">
        <v>93</v>
      </c>
      <c r="D15" s="5">
        <f>1388-8-65-77-41-66-49-37-59-58-13-23-24-57-15-20-9-17-19</f>
        <v>731</v>
      </c>
    </row>
    <row r="16" spans="1:4" s="3" customFormat="1" x14ac:dyDescent="0.25">
      <c r="A16" s="18" t="s">
        <v>118</v>
      </c>
      <c r="B16" s="13" t="s">
        <v>222</v>
      </c>
      <c r="C16" s="10" t="s">
        <v>82</v>
      </c>
      <c r="D16" s="5">
        <f>378-351</f>
        <v>27</v>
      </c>
    </row>
    <row r="17" spans="1:4" s="3" customFormat="1" x14ac:dyDescent="0.25">
      <c r="A17" s="18" t="s">
        <v>118</v>
      </c>
      <c r="B17" s="8" t="s">
        <v>223</v>
      </c>
      <c r="C17" s="4" t="s">
        <v>18</v>
      </c>
      <c r="D17" s="5">
        <f>89-2</f>
        <v>87</v>
      </c>
    </row>
    <row r="18" spans="1:4" s="3" customFormat="1" x14ac:dyDescent="0.25">
      <c r="A18" s="18" t="s">
        <v>118</v>
      </c>
      <c r="B18" s="8" t="s">
        <v>223</v>
      </c>
      <c r="C18" s="43" t="s">
        <v>26</v>
      </c>
      <c r="D18" s="5">
        <f>121-12-10-21-2-22</f>
        <v>54</v>
      </c>
    </row>
    <row r="19" spans="1:4" s="3" customFormat="1" x14ac:dyDescent="0.25">
      <c r="A19" s="18" t="s">
        <v>118</v>
      </c>
      <c r="B19" s="8" t="s">
        <v>259</v>
      </c>
      <c r="C19" s="4" t="s">
        <v>18</v>
      </c>
      <c r="D19" s="5">
        <f>2200-1140-760</f>
        <v>300</v>
      </c>
    </row>
    <row r="20" spans="1:4" s="3" customFormat="1" x14ac:dyDescent="0.25">
      <c r="A20" s="18" t="s">
        <v>118</v>
      </c>
      <c r="B20" s="8" t="s">
        <v>224</v>
      </c>
      <c r="C20" s="4" t="s">
        <v>173</v>
      </c>
      <c r="D20" s="5">
        <f>635-187-191-151</f>
        <v>106</v>
      </c>
    </row>
    <row r="21" spans="1:4" s="16" customFormat="1" x14ac:dyDescent="0.25">
      <c r="A21" s="18" t="s">
        <v>118</v>
      </c>
      <c r="B21" s="8" t="s">
        <v>225</v>
      </c>
      <c r="C21" s="10" t="s">
        <v>53</v>
      </c>
      <c r="D21" s="5">
        <v>256</v>
      </c>
    </row>
    <row r="22" spans="1:4" s="3" customFormat="1" x14ac:dyDescent="0.25">
      <c r="A22" s="18" t="s">
        <v>118</v>
      </c>
      <c r="B22" s="8" t="s">
        <v>224</v>
      </c>
      <c r="C22" s="4" t="s">
        <v>163</v>
      </c>
      <c r="D22" s="5">
        <f>7018-1021-710-1060</f>
        <v>4227</v>
      </c>
    </row>
    <row r="23" spans="1:4" s="3" customFormat="1" x14ac:dyDescent="0.25">
      <c r="A23" s="18" t="s">
        <v>118</v>
      </c>
      <c r="B23" s="8" t="s">
        <v>225</v>
      </c>
      <c r="C23" s="4" t="s">
        <v>120</v>
      </c>
      <c r="D23" s="5">
        <f>8687-490</f>
        <v>8197</v>
      </c>
    </row>
    <row r="24" spans="1:4" s="3" customFormat="1" x14ac:dyDescent="0.25">
      <c r="A24" s="18" t="s">
        <v>118</v>
      </c>
      <c r="B24" s="8" t="s">
        <v>322</v>
      </c>
      <c r="C24" s="4" t="s">
        <v>74</v>
      </c>
      <c r="D24" s="5">
        <f>940-885</f>
        <v>55</v>
      </c>
    </row>
    <row r="25" spans="1:4" s="3" customFormat="1" x14ac:dyDescent="0.25">
      <c r="A25" s="23" t="s">
        <v>118</v>
      </c>
      <c r="B25" s="8" t="s">
        <v>267</v>
      </c>
      <c r="C25" s="4" t="s">
        <v>79</v>
      </c>
      <c r="D25" s="5">
        <f>4615-2-6-1-35-6-7-1-3-3</f>
        <v>4551</v>
      </c>
    </row>
    <row r="26" spans="1:4" s="3" customFormat="1" x14ac:dyDescent="0.25">
      <c r="A26" s="18" t="s">
        <v>118</v>
      </c>
      <c r="B26" s="8" t="s">
        <v>267</v>
      </c>
      <c r="C26" s="29" t="s">
        <v>30</v>
      </c>
      <c r="D26" s="5">
        <f>1835-12-6-15-8-5-112-89-91-18-8-8-50-5-3-2-7-57-3-30-17-6-3-2-2-6-11</f>
        <v>1259</v>
      </c>
    </row>
    <row r="27" spans="1:4" s="3" customFormat="1" x14ac:dyDescent="0.25">
      <c r="A27" s="18" t="s">
        <v>118</v>
      </c>
      <c r="B27" s="8" t="s">
        <v>267</v>
      </c>
      <c r="C27" s="29" t="s">
        <v>28</v>
      </c>
      <c r="D27" s="5">
        <f>8467-37-1-2-3-1-3</f>
        <v>8420</v>
      </c>
    </row>
    <row r="28" spans="1:4" s="3" customFormat="1" x14ac:dyDescent="0.25">
      <c r="A28" s="18" t="s">
        <v>118</v>
      </c>
      <c r="B28" s="8" t="s">
        <v>267</v>
      </c>
      <c r="C28" s="29" t="s">
        <v>29</v>
      </c>
      <c r="D28" s="5">
        <f>1543-6-174-139-143-17-130-22-3-7-3-5-2-6-2-8-34-30-36-5-4-4</f>
        <v>763</v>
      </c>
    </row>
    <row r="29" spans="1:4" s="3" customFormat="1" x14ac:dyDescent="0.25">
      <c r="A29" s="23" t="s">
        <v>118</v>
      </c>
      <c r="B29" s="8" t="s">
        <v>267</v>
      </c>
      <c r="C29" s="4" t="s">
        <v>16</v>
      </c>
      <c r="D29" s="5">
        <f>3769-25-4-4-6-4-6-5</f>
        <v>3715</v>
      </c>
    </row>
    <row r="30" spans="1:4" x14ac:dyDescent="0.25">
      <c r="A30" s="18" t="s">
        <v>118</v>
      </c>
      <c r="B30" s="8" t="s">
        <v>267</v>
      </c>
      <c r="C30" s="2" t="s">
        <v>17</v>
      </c>
      <c r="D30" s="5">
        <f>7642-2-3-9-38-38-22-2-195-140-7-16-12-6-13-11-52-8-39-22-11-5-5-65</f>
        <v>6921</v>
      </c>
    </row>
    <row r="31" spans="1:4" x14ac:dyDescent="0.25">
      <c r="A31" s="23" t="s">
        <v>118</v>
      </c>
      <c r="B31" s="8" t="s">
        <v>267</v>
      </c>
      <c r="C31" s="2" t="s">
        <v>31</v>
      </c>
      <c r="D31" s="5">
        <v>1950</v>
      </c>
    </row>
    <row r="32" spans="1:4" s="3" customFormat="1" x14ac:dyDescent="0.25">
      <c r="A32" s="23" t="s">
        <v>118</v>
      </c>
      <c r="B32" s="8" t="s">
        <v>267</v>
      </c>
      <c r="C32" s="4" t="s">
        <v>80</v>
      </c>
      <c r="D32" s="5">
        <f>1655-3-8-7.6-8-8-8-1-9-4-9-8-6-26-1-4-6-9</f>
        <v>1529.4</v>
      </c>
    </row>
    <row r="33" spans="1:4" x14ac:dyDescent="0.25">
      <c r="A33" s="23" t="s">
        <v>118</v>
      </c>
      <c r="B33" s="8" t="s">
        <v>267</v>
      </c>
      <c r="C33" s="2" t="s">
        <v>32</v>
      </c>
      <c r="D33" s="5">
        <v>1506</v>
      </c>
    </row>
    <row r="34" spans="1:4" s="3" customFormat="1" x14ac:dyDescent="0.25">
      <c r="A34" s="18" t="s">
        <v>118</v>
      </c>
      <c r="B34" s="8" t="s">
        <v>267</v>
      </c>
      <c r="C34" s="2" t="s">
        <v>33</v>
      </c>
      <c r="D34" s="5">
        <f>4088-54-57-9-57</f>
        <v>3911</v>
      </c>
    </row>
    <row r="35" spans="1:4" s="3" customFormat="1" x14ac:dyDescent="0.25">
      <c r="A35" s="18" t="s">
        <v>118</v>
      </c>
      <c r="B35" s="8" t="s">
        <v>302</v>
      </c>
      <c r="C35" s="4" t="s">
        <v>59</v>
      </c>
      <c r="D35" s="5">
        <f>7977-10-6-22-490-61-9-26-7-15-81-33-3-6-63-25-1-22-1-24-10-32-22-6-14</f>
        <v>6988</v>
      </c>
    </row>
    <row r="36" spans="1:4" s="3" customFormat="1" x14ac:dyDescent="0.25">
      <c r="A36" s="18" t="s">
        <v>118</v>
      </c>
      <c r="B36" s="8" t="s">
        <v>267</v>
      </c>
      <c r="C36" s="4" t="s">
        <v>22</v>
      </c>
      <c r="D36" s="5">
        <f>3142-97-1-22-6-10-79-19-22-120-27-3-7</f>
        <v>2729</v>
      </c>
    </row>
    <row r="37" spans="1:4" s="3" customFormat="1" x14ac:dyDescent="0.25">
      <c r="A37" s="18" t="s">
        <v>118</v>
      </c>
      <c r="B37" s="8" t="s">
        <v>267</v>
      </c>
      <c r="C37" s="4" t="s">
        <v>23</v>
      </c>
      <c r="D37" s="5">
        <f>2982-12-134-18-4-1-15-30-5-62-12-25-98-70-54-14-17-58-18</f>
        <v>2335</v>
      </c>
    </row>
    <row r="38" spans="1:4" s="3" customFormat="1" x14ac:dyDescent="0.25">
      <c r="A38" s="18" t="s">
        <v>118</v>
      </c>
      <c r="B38" s="8" t="s">
        <v>267</v>
      </c>
      <c r="C38" s="4" t="s">
        <v>12</v>
      </c>
      <c r="D38" s="5">
        <f>2080-24-4-3-88-39-40</f>
        <v>1882</v>
      </c>
    </row>
    <row r="39" spans="1:4" s="3" customFormat="1" x14ac:dyDescent="0.25">
      <c r="A39" s="18" t="s">
        <v>118</v>
      </c>
      <c r="B39" s="8" t="s">
        <v>267</v>
      </c>
      <c r="C39" s="4" t="s">
        <v>52</v>
      </c>
      <c r="D39" s="5">
        <f>1510-2-3-3-8-23-16-14-4-26-120-15-2-3</f>
        <v>1271</v>
      </c>
    </row>
    <row r="40" spans="1:4" s="3" customFormat="1" x14ac:dyDescent="0.25">
      <c r="A40" s="18" t="s">
        <v>118</v>
      </c>
      <c r="B40" s="8" t="s">
        <v>267</v>
      </c>
      <c r="C40" s="4" t="s">
        <v>37</v>
      </c>
      <c r="D40" s="5">
        <f>1408-6-43-27-46-54-192-56-14-112-3-27-9-44-42</f>
        <v>733</v>
      </c>
    </row>
    <row r="41" spans="1:4" s="3" customFormat="1" x14ac:dyDescent="0.25">
      <c r="A41" s="18" t="s">
        <v>118</v>
      </c>
      <c r="B41" s="8" t="s">
        <v>267</v>
      </c>
      <c r="C41" s="4" t="s">
        <v>37</v>
      </c>
      <c r="D41" s="5">
        <f>1480-112-15</f>
        <v>1353</v>
      </c>
    </row>
    <row r="42" spans="1:4" s="3" customFormat="1" x14ac:dyDescent="0.25">
      <c r="A42" s="18" t="s">
        <v>118</v>
      </c>
      <c r="B42" s="8" t="s">
        <v>267</v>
      </c>
      <c r="C42" s="4" t="s">
        <v>35</v>
      </c>
      <c r="D42" s="5">
        <f>1371-82-156-58-33-25-10-63</f>
        <v>944</v>
      </c>
    </row>
    <row r="43" spans="1:4" s="3" customFormat="1" x14ac:dyDescent="0.25">
      <c r="A43" s="18" t="s">
        <v>118</v>
      </c>
      <c r="B43" s="8" t="s">
        <v>267</v>
      </c>
      <c r="C43" s="4" t="s">
        <v>36</v>
      </c>
      <c r="D43" s="5">
        <f>1260-76-31-3-16-22-153-9-5-19-5-15-90-67-3-150-15-2</f>
        <v>579</v>
      </c>
    </row>
    <row r="44" spans="1:4" s="3" customFormat="1" x14ac:dyDescent="0.25">
      <c r="A44" s="18" t="s">
        <v>118</v>
      </c>
      <c r="B44" s="8" t="s">
        <v>267</v>
      </c>
      <c r="C44" s="4" t="s">
        <v>26</v>
      </c>
      <c r="D44" s="5">
        <f>893-102-44-64-16-11-7-7-11-16-7-97-145-270</f>
        <v>96</v>
      </c>
    </row>
    <row r="45" spans="1:4" s="3" customFormat="1" x14ac:dyDescent="0.25">
      <c r="A45" s="18" t="s">
        <v>118</v>
      </c>
      <c r="B45" s="8" t="s">
        <v>267</v>
      </c>
      <c r="C45" s="4" t="s">
        <v>26</v>
      </c>
      <c r="D45" s="5">
        <f>2030-9-9-165</f>
        <v>1847</v>
      </c>
    </row>
    <row r="46" spans="1:4" s="3" customFormat="1" x14ac:dyDescent="0.25">
      <c r="A46" s="18" t="s">
        <v>118</v>
      </c>
      <c r="B46" s="8" t="s">
        <v>267</v>
      </c>
      <c r="C46" s="4" t="s">
        <v>7</v>
      </c>
      <c r="D46" s="5">
        <f>2349-21-11-17-28-34-14-39-202-12-7-92-115-4-39-63-12-8</f>
        <v>1631</v>
      </c>
    </row>
    <row r="47" spans="1:4" s="3" customFormat="1" x14ac:dyDescent="0.25">
      <c r="A47" s="18" t="s">
        <v>118</v>
      </c>
      <c r="B47" s="8" t="s">
        <v>267</v>
      </c>
      <c r="C47" s="4" t="s">
        <v>39</v>
      </c>
      <c r="D47" s="5">
        <f>2587-373-21-30-10-6-175-200-12-20-960-70-34</f>
        <v>676</v>
      </c>
    </row>
    <row r="48" spans="1:4" s="3" customFormat="1" x14ac:dyDescent="0.25">
      <c r="A48" s="18" t="s">
        <v>118</v>
      </c>
      <c r="B48" s="8" t="s">
        <v>267</v>
      </c>
      <c r="C48" s="4" t="s">
        <v>9</v>
      </c>
      <c r="D48" s="5">
        <f>2850-41-6-113-8-40-23-65-9-15-1380-16-165-7-61-5-95-22-12-22-17-38-56-225-13-13-81-7-28</f>
        <v>267</v>
      </c>
    </row>
    <row r="49" spans="1:4" s="3" customFormat="1" x14ac:dyDescent="0.25">
      <c r="A49" s="18" t="s">
        <v>118</v>
      </c>
      <c r="B49" s="8" t="s">
        <v>267</v>
      </c>
      <c r="C49" s="4" t="s">
        <v>27</v>
      </c>
      <c r="D49" s="5">
        <f>1481-182-10-8-24-8-130-27-4</f>
        <v>1088</v>
      </c>
    </row>
    <row r="50" spans="1:4" s="3" customFormat="1" x14ac:dyDescent="0.25">
      <c r="A50" s="18" t="s">
        <v>118</v>
      </c>
      <c r="B50" s="8" t="s">
        <v>267</v>
      </c>
      <c r="C50" s="25" t="s">
        <v>11</v>
      </c>
      <c r="D50" s="5">
        <f>5320-3953</f>
        <v>1367</v>
      </c>
    </row>
    <row r="51" spans="1:4" s="3" customFormat="1" x14ac:dyDescent="0.25">
      <c r="A51" s="18" t="s">
        <v>118</v>
      </c>
      <c r="B51" s="8" t="s">
        <v>267</v>
      </c>
      <c r="C51" s="25" t="s">
        <v>11</v>
      </c>
      <c r="D51" s="5">
        <v>2000</v>
      </c>
    </row>
    <row r="52" spans="1:4" s="3" customFormat="1" x14ac:dyDescent="0.25">
      <c r="A52" s="18" t="s">
        <v>118</v>
      </c>
      <c r="B52" s="8" t="s">
        <v>267</v>
      </c>
      <c r="C52" s="25" t="s">
        <v>11</v>
      </c>
      <c r="D52" s="5">
        <v>2554</v>
      </c>
    </row>
    <row r="53" spans="1:4" s="3" customFormat="1" x14ac:dyDescent="0.25">
      <c r="A53" s="18" t="s">
        <v>118</v>
      </c>
      <c r="B53" s="8" t="s">
        <v>267</v>
      </c>
      <c r="C53" s="25" t="s">
        <v>5</v>
      </c>
      <c r="D53" s="5">
        <f>3650-21-15-151-25-90-25-38-137-430-202-39-130-31-70-72-12-16-31-80-45-89-18-160</f>
        <v>1723</v>
      </c>
    </row>
    <row r="54" spans="1:4" s="3" customFormat="1" x14ac:dyDescent="0.25">
      <c r="A54" s="18" t="s">
        <v>118</v>
      </c>
      <c r="B54" s="8" t="s">
        <v>267</v>
      </c>
      <c r="C54" s="4" t="s">
        <v>40</v>
      </c>
      <c r="D54" s="5">
        <f>2214-93-44-12-47-20-210-27</f>
        <v>1761</v>
      </c>
    </row>
    <row r="55" spans="1:4" x14ac:dyDescent="0.25">
      <c r="A55" s="18" t="s">
        <v>118</v>
      </c>
      <c r="B55" s="8" t="s">
        <v>267</v>
      </c>
      <c r="C55" s="2" t="s">
        <v>20</v>
      </c>
      <c r="D55" s="5">
        <f>4793-56-237-34-28-14</f>
        <v>4424</v>
      </c>
    </row>
    <row r="56" spans="1:4" x14ac:dyDescent="0.25">
      <c r="A56" s="18" t="s">
        <v>118</v>
      </c>
      <c r="B56" s="8" t="s">
        <v>267</v>
      </c>
      <c r="C56" s="2" t="s">
        <v>15</v>
      </c>
      <c r="D56" s="5">
        <f>6252-61-427-44-152-131-288-4-55</f>
        <v>5090</v>
      </c>
    </row>
    <row r="57" spans="1:4" x14ac:dyDescent="0.25">
      <c r="A57" s="18" t="s">
        <v>118</v>
      </c>
      <c r="B57" s="8" t="s">
        <v>267</v>
      </c>
      <c r="C57" s="2" t="s">
        <v>48</v>
      </c>
      <c r="D57" s="5">
        <f>1065-80-81-39-127-8-38-91-26-55-38-109-98-30-224-14</f>
        <v>7</v>
      </c>
    </row>
    <row r="58" spans="1:4" s="3" customFormat="1" x14ac:dyDescent="0.25">
      <c r="A58" s="18" t="s">
        <v>118</v>
      </c>
      <c r="B58" s="8" t="s">
        <v>267</v>
      </c>
      <c r="C58" s="25" t="s">
        <v>8</v>
      </c>
      <c r="D58" s="5">
        <f>2940-1009-101-200-95-202-93-37-70-119-26-17</f>
        <v>971</v>
      </c>
    </row>
    <row r="59" spans="1:4" x14ac:dyDescent="0.25">
      <c r="A59" s="18" t="s">
        <v>118</v>
      </c>
      <c r="B59" s="8" t="s">
        <v>267</v>
      </c>
      <c r="C59" s="2" t="s">
        <v>43</v>
      </c>
      <c r="D59" s="5">
        <f>8492-552-47-107-32-835-51-198-125-24-136-151-2280-232-36-210-39-155-51-82-148-750-70-25-95-7-30-39-60-380</f>
        <v>1545</v>
      </c>
    </row>
    <row r="60" spans="1:4" s="3" customFormat="1" x14ac:dyDescent="0.25">
      <c r="A60" s="18" t="s">
        <v>118</v>
      </c>
      <c r="B60" s="8" t="s">
        <v>267</v>
      </c>
      <c r="C60" s="4" t="s">
        <v>2</v>
      </c>
      <c r="D60" s="5">
        <f>4686-618-325-207-17-41-344-164-490-24-79-23-38</f>
        <v>2316</v>
      </c>
    </row>
    <row r="61" spans="1:4" s="16" customFormat="1" x14ac:dyDescent="0.25">
      <c r="A61" s="18" t="s">
        <v>118</v>
      </c>
      <c r="B61" s="8" t="s">
        <v>332</v>
      </c>
      <c r="C61" s="10" t="s">
        <v>206</v>
      </c>
      <c r="D61" s="5">
        <f>700-162-44-44-270-61-117</f>
        <v>2</v>
      </c>
    </row>
    <row r="62" spans="1:4" x14ac:dyDescent="0.25">
      <c r="A62" s="18" t="s">
        <v>118</v>
      </c>
      <c r="B62" s="8" t="s">
        <v>267</v>
      </c>
      <c r="C62" s="4" t="s">
        <v>70</v>
      </c>
      <c r="D62" s="5">
        <f>2758-986-495-55-72-610-306-78-33-27-20</f>
        <v>76</v>
      </c>
    </row>
    <row r="63" spans="1:4" s="3" customFormat="1" x14ac:dyDescent="0.25">
      <c r="A63" s="18" t="s">
        <v>118</v>
      </c>
      <c r="B63" s="8" t="s">
        <v>267</v>
      </c>
      <c r="C63" s="25" t="s">
        <v>67</v>
      </c>
      <c r="D63" s="5">
        <f>3074-23-334-130-334-54-88-288-193</f>
        <v>1630</v>
      </c>
    </row>
    <row r="64" spans="1:4" s="3" customFormat="1" x14ac:dyDescent="0.25">
      <c r="A64" s="18" t="s">
        <v>118</v>
      </c>
      <c r="B64" s="8" t="s">
        <v>267</v>
      </c>
      <c r="C64" s="25" t="s">
        <v>173</v>
      </c>
      <c r="D64" s="5">
        <f>1510-71-192-49-141-262-508-48-239</f>
        <v>0</v>
      </c>
    </row>
    <row r="65" spans="1:4" s="3" customFormat="1" x14ac:dyDescent="0.25">
      <c r="A65" s="18" t="s">
        <v>118</v>
      </c>
      <c r="B65" s="8" t="s">
        <v>267</v>
      </c>
      <c r="C65" s="10" t="s">
        <v>305</v>
      </c>
      <c r="D65" s="5">
        <f>1315-961-163</f>
        <v>191</v>
      </c>
    </row>
    <row r="66" spans="1:4" s="3" customFormat="1" x14ac:dyDescent="0.25">
      <c r="A66" s="18" t="s">
        <v>118</v>
      </c>
      <c r="B66" s="8" t="s">
        <v>267</v>
      </c>
      <c r="C66" s="4" t="s">
        <v>154</v>
      </c>
      <c r="D66" s="5">
        <v>98</v>
      </c>
    </row>
    <row r="67" spans="1:4" s="3" customFormat="1" x14ac:dyDescent="0.25">
      <c r="A67" s="18" t="s">
        <v>118</v>
      </c>
      <c r="B67" s="8" t="s">
        <v>267</v>
      </c>
      <c r="C67" s="25" t="s">
        <v>25</v>
      </c>
      <c r="D67" s="5">
        <f>432-33</f>
        <v>399</v>
      </c>
    </row>
    <row r="68" spans="1:4" s="3" customFormat="1" x14ac:dyDescent="0.25">
      <c r="A68" s="18" t="s">
        <v>118</v>
      </c>
      <c r="B68" s="8" t="s">
        <v>267</v>
      </c>
      <c r="C68" s="4" t="s">
        <v>147</v>
      </c>
      <c r="D68" s="5">
        <f>3369-191-121-125-550-664-1164-207-88</f>
        <v>259</v>
      </c>
    </row>
    <row r="69" spans="1:4" s="3" customFormat="1" x14ac:dyDescent="0.25">
      <c r="A69" s="18" t="s">
        <v>118</v>
      </c>
      <c r="B69" s="8" t="s">
        <v>267</v>
      </c>
      <c r="C69" s="4" t="s">
        <v>121</v>
      </c>
      <c r="D69" s="5">
        <f>3491-181-3170</f>
        <v>140</v>
      </c>
    </row>
    <row r="70" spans="1:4" s="3" customFormat="1" x14ac:dyDescent="0.25">
      <c r="A70" s="18" t="s">
        <v>118</v>
      </c>
      <c r="B70" s="8" t="s">
        <v>267</v>
      </c>
      <c r="C70" s="25" t="s">
        <v>312</v>
      </c>
      <c r="D70" s="5">
        <f>3608-410-180-421-1352-300-300-445-44</f>
        <v>156</v>
      </c>
    </row>
    <row r="71" spans="1:4" s="3" customFormat="1" x14ac:dyDescent="0.25">
      <c r="A71" s="18" t="s">
        <v>118</v>
      </c>
      <c r="B71" s="8" t="s">
        <v>267</v>
      </c>
      <c r="C71" s="4" t="s">
        <v>155</v>
      </c>
      <c r="D71" s="5">
        <f>2601-280-95-330</f>
        <v>1896</v>
      </c>
    </row>
    <row r="72" spans="1:4" s="3" customFormat="1" x14ac:dyDescent="0.25">
      <c r="A72" s="18" t="s">
        <v>118</v>
      </c>
      <c r="B72" s="8" t="s">
        <v>267</v>
      </c>
      <c r="C72" s="32" t="s">
        <v>71</v>
      </c>
      <c r="D72" s="5">
        <v>555</v>
      </c>
    </row>
    <row r="73" spans="1:4" s="3" customFormat="1" x14ac:dyDescent="0.25">
      <c r="A73" s="18" t="s">
        <v>118</v>
      </c>
      <c r="B73" s="8" t="s">
        <v>267</v>
      </c>
      <c r="C73" s="4" t="s">
        <v>116</v>
      </c>
      <c r="D73" s="5">
        <f>1263-130-450-162</f>
        <v>521</v>
      </c>
    </row>
    <row r="74" spans="1:4" s="3" customFormat="1" x14ac:dyDescent="0.25">
      <c r="A74" s="18" t="s">
        <v>118</v>
      </c>
      <c r="B74" s="8" t="s">
        <v>267</v>
      </c>
      <c r="C74" s="4" t="s">
        <v>181</v>
      </c>
      <c r="D74" s="5">
        <f>7184-360</f>
        <v>6824</v>
      </c>
    </row>
    <row r="75" spans="1:4" s="3" customFormat="1" x14ac:dyDescent="0.25">
      <c r="A75" s="18" t="s">
        <v>118</v>
      </c>
      <c r="B75" s="8" t="s">
        <v>332</v>
      </c>
      <c r="C75" s="4" t="s">
        <v>163</v>
      </c>
      <c r="D75" s="5">
        <f>515+580-580</f>
        <v>515</v>
      </c>
    </row>
    <row r="76" spans="1:4" s="3" customFormat="1" x14ac:dyDescent="0.25">
      <c r="A76" s="18" t="s">
        <v>118</v>
      </c>
      <c r="B76" s="8" t="s">
        <v>355</v>
      </c>
      <c r="C76" s="4" t="s">
        <v>206</v>
      </c>
      <c r="D76" s="5">
        <f>2690-100</f>
        <v>2590</v>
      </c>
    </row>
    <row r="77" spans="1:4" s="3" customFormat="1" x14ac:dyDescent="0.25">
      <c r="A77" s="18" t="s">
        <v>118</v>
      </c>
      <c r="B77" s="8" t="s">
        <v>355</v>
      </c>
      <c r="C77" s="4" t="s">
        <v>173</v>
      </c>
      <c r="D77" s="5">
        <v>3462</v>
      </c>
    </row>
    <row r="78" spans="1:4" s="3" customFormat="1" x14ac:dyDescent="0.25">
      <c r="A78" s="18" t="s">
        <v>118</v>
      </c>
      <c r="B78" s="8" t="s">
        <v>355</v>
      </c>
      <c r="C78" s="4" t="s">
        <v>154</v>
      </c>
      <c r="D78" s="5">
        <v>3601</v>
      </c>
    </row>
    <row r="79" spans="1:4" s="3" customFormat="1" x14ac:dyDescent="0.25">
      <c r="A79" s="18" t="s">
        <v>118</v>
      </c>
      <c r="B79" s="8" t="s">
        <v>355</v>
      </c>
      <c r="C79" s="4" t="s">
        <v>25</v>
      </c>
      <c r="D79" s="5">
        <v>3792</v>
      </c>
    </row>
    <row r="80" spans="1:4" s="3" customFormat="1" x14ac:dyDescent="0.25">
      <c r="A80" s="18" t="s">
        <v>118</v>
      </c>
      <c r="B80" s="8" t="s">
        <v>355</v>
      </c>
      <c r="C80" s="4" t="s">
        <v>117</v>
      </c>
      <c r="D80" s="5">
        <v>12468</v>
      </c>
    </row>
    <row r="81" spans="1:4" s="3" customFormat="1" x14ac:dyDescent="0.25">
      <c r="A81" s="18" t="s">
        <v>118</v>
      </c>
      <c r="B81" s="40" t="s">
        <v>226</v>
      </c>
      <c r="C81" s="43" t="s">
        <v>144</v>
      </c>
      <c r="D81" s="5">
        <f>1180-8-4-4-2-50-5-9-1-1-3-9-5</f>
        <v>1079</v>
      </c>
    </row>
    <row r="82" spans="1:4" s="3" customFormat="1" x14ac:dyDescent="0.25">
      <c r="A82" s="18" t="s">
        <v>118</v>
      </c>
      <c r="B82" s="40" t="s">
        <v>226</v>
      </c>
      <c r="C82" s="10" t="s">
        <v>95</v>
      </c>
      <c r="D82" s="5">
        <f>80-13</f>
        <v>67</v>
      </c>
    </row>
    <row r="83" spans="1:4" s="3" customFormat="1" x14ac:dyDescent="0.25">
      <c r="A83" s="18" t="s">
        <v>118</v>
      </c>
      <c r="B83" s="40" t="s">
        <v>226</v>
      </c>
      <c r="C83" s="10" t="s">
        <v>167</v>
      </c>
      <c r="D83" s="5">
        <v>2119</v>
      </c>
    </row>
    <row r="84" spans="1:4" s="3" customFormat="1" x14ac:dyDescent="0.25">
      <c r="A84" s="18" t="s">
        <v>118</v>
      </c>
      <c r="B84" s="40" t="s">
        <v>227</v>
      </c>
      <c r="C84" s="43" t="s">
        <v>95</v>
      </c>
      <c r="D84" s="5">
        <v>150</v>
      </c>
    </row>
    <row r="85" spans="1:4" s="3" customFormat="1" x14ac:dyDescent="0.25">
      <c r="A85" s="18" t="s">
        <v>118</v>
      </c>
      <c r="B85" s="40" t="s">
        <v>227</v>
      </c>
      <c r="C85" s="43" t="s">
        <v>197</v>
      </c>
      <c r="D85" s="5">
        <f>436-8-8-2</f>
        <v>418</v>
      </c>
    </row>
    <row r="86" spans="1:4" s="3" customFormat="1" x14ac:dyDescent="0.25">
      <c r="A86" s="18" t="s">
        <v>118</v>
      </c>
      <c r="B86" s="8" t="s">
        <v>356</v>
      </c>
      <c r="C86" s="4" t="s">
        <v>14</v>
      </c>
      <c r="D86" s="5">
        <v>4900</v>
      </c>
    </row>
    <row r="87" spans="1:4" x14ac:dyDescent="0.25">
      <c r="A87" s="18" t="s">
        <v>118</v>
      </c>
      <c r="B87" s="40" t="s">
        <v>227</v>
      </c>
      <c r="C87" s="4" t="s">
        <v>37</v>
      </c>
      <c r="D87" s="5">
        <f>96-5-32-10-34</f>
        <v>15</v>
      </c>
    </row>
    <row r="88" spans="1:4" s="3" customFormat="1" x14ac:dyDescent="0.25">
      <c r="A88" s="18" t="s">
        <v>118</v>
      </c>
      <c r="B88" s="40" t="s">
        <v>227</v>
      </c>
      <c r="C88" s="25" t="s">
        <v>19</v>
      </c>
      <c r="D88" s="5">
        <f>2764-246-179-27-13-4-12-4-380</f>
        <v>1899</v>
      </c>
    </row>
    <row r="89" spans="1:4" s="3" customFormat="1" x14ac:dyDescent="0.25">
      <c r="A89" s="18" t="s">
        <v>118</v>
      </c>
      <c r="B89" s="40" t="s">
        <v>227</v>
      </c>
      <c r="C89" s="25" t="s">
        <v>40</v>
      </c>
      <c r="D89" s="5">
        <f>8829-108-173-45-45-215</f>
        <v>8243</v>
      </c>
    </row>
    <row r="90" spans="1:4" s="3" customFormat="1" x14ac:dyDescent="0.25">
      <c r="A90" s="18" t="s">
        <v>118</v>
      </c>
      <c r="B90" s="40" t="s">
        <v>227</v>
      </c>
      <c r="C90" s="46" t="s">
        <v>20</v>
      </c>
      <c r="D90" s="5">
        <f>12015-42-234-742-69-24-138-135-211-132-64-113-120-20-64-196-205-106-210-20-97-37-64-17-45</f>
        <v>8910</v>
      </c>
    </row>
    <row r="91" spans="1:4" x14ac:dyDescent="0.25">
      <c r="A91" s="18" t="s">
        <v>118</v>
      </c>
      <c r="B91" s="40" t="s">
        <v>227</v>
      </c>
      <c r="C91" s="28" t="s">
        <v>8</v>
      </c>
      <c r="D91" s="5">
        <v>168</v>
      </c>
    </row>
    <row r="92" spans="1:4" x14ac:dyDescent="0.25">
      <c r="A92" s="18" t="s">
        <v>118</v>
      </c>
      <c r="B92" s="40" t="s">
        <v>227</v>
      </c>
      <c r="C92" s="4" t="s">
        <v>69</v>
      </c>
      <c r="D92" s="5">
        <f>123-54</f>
        <v>69</v>
      </c>
    </row>
    <row r="93" spans="1:4" x14ac:dyDescent="0.25">
      <c r="A93" s="18" t="s">
        <v>118</v>
      </c>
      <c r="B93" s="40" t="s">
        <v>227</v>
      </c>
      <c r="C93" s="15" t="s">
        <v>2</v>
      </c>
      <c r="D93" s="5">
        <f>1929-88-35-655-35-36-191-33</f>
        <v>856</v>
      </c>
    </row>
    <row r="94" spans="1:4" s="3" customFormat="1" x14ac:dyDescent="0.25">
      <c r="A94" s="18" t="s">
        <v>118</v>
      </c>
      <c r="B94" s="13" t="s">
        <v>228</v>
      </c>
      <c r="C94" s="10" t="s">
        <v>16</v>
      </c>
      <c r="D94" s="5">
        <f>1843-5-13</f>
        <v>1825</v>
      </c>
    </row>
    <row r="95" spans="1:4" s="3" customFormat="1" x14ac:dyDescent="0.25">
      <c r="A95" s="18" t="s">
        <v>118</v>
      </c>
      <c r="B95" s="13" t="s">
        <v>228</v>
      </c>
      <c r="C95" s="4" t="s">
        <v>149</v>
      </c>
      <c r="D95" s="5">
        <f>1020-437-6-10</f>
        <v>567</v>
      </c>
    </row>
    <row r="96" spans="1:4" s="3" customFormat="1" x14ac:dyDescent="0.25">
      <c r="A96" s="18" t="s">
        <v>118</v>
      </c>
      <c r="B96" s="13" t="s">
        <v>228</v>
      </c>
      <c r="C96" s="4" t="s">
        <v>59</v>
      </c>
      <c r="D96" s="5">
        <f>1000-1-1-10-6-5-6-4-7-4-4-10</f>
        <v>942</v>
      </c>
    </row>
    <row r="97" spans="1:4" s="3" customFormat="1" x14ac:dyDescent="0.25">
      <c r="A97" s="18" t="s">
        <v>118</v>
      </c>
      <c r="B97" s="13" t="s">
        <v>228</v>
      </c>
      <c r="C97" s="10" t="s">
        <v>21</v>
      </c>
      <c r="D97" s="5">
        <f>3260-170-13-7-14-13-11-11-43-40-26-5-390-1-8</f>
        <v>2508</v>
      </c>
    </row>
    <row r="98" spans="1:4" s="3" customFormat="1" x14ac:dyDescent="0.25">
      <c r="A98" s="18" t="s">
        <v>118</v>
      </c>
      <c r="B98" s="13" t="s">
        <v>228</v>
      </c>
      <c r="C98" s="4" t="s">
        <v>22</v>
      </c>
      <c r="D98" s="5">
        <f>2060-1-3-10-5-11-20-16-4-9-8-4-14-18</f>
        <v>1937</v>
      </c>
    </row>
    <row r="99" spans="1:4" s="3" customFormat="1" x14ac:dyDescent="0.25">
      <c r="A99" s="18" t="s">
        <v>118</v>
      </c>
      <c r="B99" s="13" t="s">
        <v>228</v>
      </c>
      <c r="C99" s="4" t="s">
        <v>23</v>
      </c>
      <c r="D99" s="5">
        <f>1930-6-51-13-10-13-5</f>
        <v>1832</v>
      </c>
    </row>
    <row r="100" spans="1:4" s="3" customFormat="1" x14ac:dyDescent="0.25">
      <c r="A100" s="18" t="s">
        <v>118</v>
      </c>
      <c r="B100" s="13" t="s">
        <v>228</v>
      </c>
      <c r="C100" s="4" t="s">
        <v>12</v>
      </c>
      <c r="D100" s="5">
        <f>2259-7-8-5-4-33-16</f>
        <v>2186</v>
      </c>
    </row>
    <row r="101" spans="1:4" s="3" customFormat="1" x14ac:dyDescent="0.25">
      <c r="A101" s="18" t="s">
        <v>118</v>
      </c>
      <c r="B101" s="13" t="s">
        <v>228</v>
      </c>
      <c r="C101" s="4" t="s">
        <v>35</v>
      </c>
      <c r="D101" s="5">
        <f>2750-25-45-66-31-33-22-14-18-34-4-52-98-57-10</f>
        <v>2241</v>
      </c>
    </row>
    <row r="102" spans="1:4" s="3" customFormat="1" x14ac:dyDescent="0.25">
      <c r="A102" s="18" t="s">
        <v>118</v>
      </c>
      <c r="B102" s="13" t="s">
        <v>228</v>
      </c>
      <c r="C102" s="10" t="s">
        <v>36</v>
      </c>
      <c r="D102" s="5">
        <f>2820-80-52-20-19-67-2000-34-23-44-28-9-136-4-55-54-11-35-20-7-4</f>
        <v>118</v>
      </c>
    </row>
    <row r="103" spans="1:4" s="16" customFormat="1" x14ac:dyDescent="0.25">
      <c r="A103" s="18" t="s">
        <v>118</v>
      </c>
      <c r="B103" s="13" t="s">
        <v>228</v>
      </c>
      <c r="C103" s="38" t="s">
        <v>19</v>
      </c>
      <c r="D103" s="5">
        <f>5165-106-108-127-283-10-61-18-91-19-34-103-281-550-164-63-85-25-22-11-14-150-6</f>
        <v>2834</v>
      </c>
    </row>
    <row r="104" spans="1:4" s="3" customFormat="1" x14ac:dyDescent="0.25">
      <c r="A104" s="18" t="s">
        <v>118</v>
      </c>
      <c r="B104" s="13" t="s">
        <v>228</v>
      </c>
      <c r="C104" s="10" t="s">
        <v>9</v>
      </c>
      <c r="D104" s="5">
        <f>3850-17-14-224-31-26-23-48-32-145-145-18-20-25-480</f>
        <v>2602</v>
      </c>
    </row>
    <row r="105" spans="1:4" s="3" customFormat="1" x14ac:dyDescent="0.25">
      <c r="A105" s="18" t="s">
        <v>118</v>
      </c>
      <c r="B105" s="13" t="s">
        <v>228</v>
      </c>
      <c r="C105" s="10" t="s">
        <v>11</v>
      </c>
      <c r="D105" s="5">
        <f>2250-1167-17-35-11-11-7-24-33-17-270</f>
        <v>658</v>
      </c>
    </row>
    <row r="106" spans="1:4" s="3" customFormat="1" x14ac:dyDescent="0.25">
      <c r="A106" s="18" t="s">
        <v>118</v>
      </c>
      <c r="B106" s="13" t="s">
        <v>228</v>
      </c>
      <c r="C106" s="10" t="s">
        <v>5</v>
      </c>
      <c r="D106" s="5">
        <f>1430-82-157-82-74-20-12</f>
        <v>1003</v>
      </c>
    </row>
    <row r="107" spans="1:4" s="3" customFormat="1" x14ac:dyDescent="0.25">
      <c r="A107" s="18" t="s">
        <v>118</v>
      </c>
      <c r="B107" s="13" t="s">
        <v>228</v>
      </c>
      <c r="C107" s="7" t="s">
        <v>8</v>
      </c>
      <c r="D107" s="5">
        <f>4148-17-441-144-278-445-469-71-51-21-26</f>
        <v>2185</v>
      </c>
    </row>
    <row r="108" spans="1:4" s="3" customFormat="1" x14ac:dyDescent="0.25">
      <c r="A108" s="19" t="s">
        <v>118</v>
      </c>
      <c r="B108" s="13" t="s">
        <v>228</v>
      </c>
      <c r="C108" s="10" t="s">
        <v>47</v>
      </c>
      <c r="D108" s="5">
        <f>871-106-393-102-26</f>
        <v>244</v>
      </c>
    </row>
    <row r="109" spans="1:4" s="3" customFormat="1" x14ac:dyDescent="0.25">
      <c r="A109" s="18" t="s">
        <v>118</v>
      </c>
      <c r="B109" s="13" t="s">
        <v>228</v>
      </c>
      <c r="C109" s="10" t="s">
        <v>43</v>
      </c>
      <c r="D109" s="5">
        <f>2022-441</f>
        <v>1581</v>
      </c>
    </row>
    <row r="110" spans="1:4" s="3" customFormat="1" x14ac:dyDescent="0.25">
      <c r="A110" s="18" t="s">
        <v>118</v>
      </c>
      <c r="B110" s="13" t="s">
        <v>228</v>
      </c>
      <c r="C110" s="10" t="s">
        <v>69</v>
      </c>
      <c r="D110" s="5">
        <f>3096-73-92</f>
        <v>2931</v>
      </c>
    </row>
    <row r="111" spans="1:4" s="3" customFormat="1" x14ac:dyDescent="0.25">
      <c r="A111" s="18" t="s">
        <v>118</v>
      </c>
      <c r="B111" s="13" t="s">
        <v>228</v>
      </c>
      <c r="C111" s="4" t="s">
        <v>67</v>
      </c>
      <c r="D111" s="5">
        <f>8983-1653</f>
        <v>7330</v>
      </c>
    </row>
    <row r="112" spans="1:4" s="3" customFormat="1" x14ac:dyDescent="0.25">
      <c r="A112" s="18" t="s">
        <v>118</v>
      </c>
      <c r="B112" s="8" t="s">
        <v>229</v>
      </c>
      <c r="C112" s="4" t="s">
        <v>23</v>
      </c>
      <c r="D112" s="5">
        <v>2280</v>
      </c>
    </row>
    <row r="113" spans="1:4" s="3" customFormat="1" x14ac:dyDescent="0.25">
      <c r="A113" s="18" t="s">
        <v>118</v>
      </c>
      <c r="B113" s="8" t="s">
        <v>229</v>
      </c>
      <c r="C113" s="2" t="s">
        <v>41</v>
      </c>
      <c r="D113" s="5">
        <v>155</v>
      </c>
    </row>
    <row r="114" spans="1:4" s="3" customFormat="1" x14ac:dyDescent="0.25">
      <c r="A114" s="18" t="s">
        <v>118</v>
      </c>
      <c r="B114" s="8" t="s">
        <v>230</v>
      </c>
      <c r="C114" s="2" t="s">
        <v>21</v>
      </c>
      <c r="D114" s="5">
        <v>1084</v>
      </c>
    </row>
    <row r="115" spans="1:4" s="3" customFormat="1" x14ac:dyDescent="0.25">
      <c r="A115" s="18" t="s">
        <v>118</v>
      </c>
      <c r="B115" s="8" t="s">
        <v>230</v>
      </c>
      <c r="C115" s="2" t="s">
        <v>36</v>
      </c>
      <c r="D115" s="5">
        <f>1355-38</f>
        <v>1317</v>
      </c>
    </row>
    <row r="116" spans="1:4" s="3" customFormat="1" x14ac:dyDescent="0.25">
      <c r="A116" s="18" t="s">
        <v>118</v>
      </c>
      <c r="B116" s="8" t="s">
        <v>230</v>
      </c>
      <c r="C116" s="2" t="s">
        <v>7</v>
      </c>
      <c r="D116" s="5">
        <f>4790-93-158</f>
        <v>4539</v>
      </c>
    </row>
    <row r="117" spans="1:4" s="3" customFormat="1" x14ac:dyDescent="0.25">
      <c r="A117" s="18" t="s">
        <v>118</v>
      </c>
      <c r="B117" s="8" t="s">
        <v>230</v>
      </c>
      <c r="C117" s="2" t="s">
        <v>39</v>
      </c>
      <c r="D117" s="5">
        <v>1442</v>
      </c>
    </row>
    <row r="118" spans="1:4" s="3" customFormat="1" x14ac:dyDescent="0.25">
      <c r="A118" s="18" t="s">
        <v>118</v>
      </c>
      <c r="B118" s="8" t="s">
        <v>231</v>
      </c>
      <c r="C118" s="4" t="s">
        <v>19</v>
      </c>
      <c r="D118" s="5">
        <v>2840</v>
      </c>
    </row>
    <row r="119" spans="1:4" s="3" customFormat="1" x14ac:dyDescent="0.25">
      <c r="A119" s="18" t="s">
        <v>118</v>
      </c>
      <c r="B119" s="8" t="s">
        <v>232</v>
      </c>
      <c r="C119" s="4" t="s">
        <v>70</v>
      </c>
      <c r="D119" s="5">
        <v>2830</v>
      </c>
    </row>
    <row r="120" spans="1:4" s="3" customFormat="1" x14ac:dyDescent="0.25">
      <c r="A120" s="18" t="s">
        <v>118</v>
      </c>
      <c r="B120" s="8" t="s">
        <v>232</v>
      </c>
      <c r="C120" s="4" t="s">
        <v>82</v>
      </c>
      <c r="D120" s="5">
        <f>4250-620-910</f>
        <v>2720</v>
      </c>
    </row>
    <row r="121" spans="1:4" s="3" customFormat="1" x14ac:dyDescent="0.25">
      <c r="A121" s="18" t="s">
        <v>118</v>
      </c>
      <c r="B121" s="8" t="s">
        <v>233</v>
      </c>
      <c r="C121" s="2" t="s">
        <v>52</v>
      </c>
      <c r="D121" s="5">
        <f>832-81</f>
        <v>751</v>
      </c>
    </row>
    <row r="122" spans="1:4" s="3" customFormat="1" x14ac:dyDescent="0.25">
      <c r="A122" s="18" t="s">
        <v>118</v>
      </c>
      <c r="B122" s="8" t="s">
        <v>234</v>
      </c>
      <c r="C122" s="4" t="s">
        <v>149</v>
      </c>
      <c r="D122" s="5">
        <f>850-3-1-5-6-9</f>
        <v>826</v>
      </c>
    </row>
    <row r="123" spans="1:4" s="3" customFormat="1" x14ac:dyDescent="0.25">
      <c r="A123" s="18" t="s">
        <v>118</v>
      </c>
      <c r="B123" s="8" t="s">
        <v>234</v>
      </c>
      <c r="C123" s="4" t="s">
        <v>39</v>
      </c>
      <c r="D123" s="5">
        <f>103-14-65</f>
        <v>24</v>
      </c>
    </row>
    <row r="124" spans="1:4" s="3" customFormat="1" x14ac:dyDescent="0.25">
      <c r="A124" s="18" t="s">
        <v>118</v>
      </c>
      <c r="B124" s="8" t="s">
        <v>234</v>
      </c>
      <c r="C124" s="4" t="s">
        <v>5</v>
      </c>
      <c r="D124" s="5">
        <f>1410-1364-7-7</f>
        <v>32</v>
      </c>
    </row>
    <row r="125" spans="1:4" s="3" customFormat="1" x14ac:dyDescent="0.25">
      <c r="A125" s="18" t="s">
        <v>118</v>
      </c>
      <c r="B125" s="8" t="s">
        <v>234</v>
      </c>
      <c r="C125" s="4" t="s">
        <v>70</v>
      </c>
      <c r="D125" s="5">
        <v>34</v>
      </c>
    </row>
    <row r="126" spans="1:4" s="16" customFormat="1" x14ac:dyDescent="0.25">
      <c r="A126" s="18" t="s">
        <v>118</v>
      </c>
      <c r="B126" s="8" t="s">
        <v>234</v>
      </c>
      <c r="C126" s="38" t="s">
        <v>173</v>
      </c>
      <c r="D126" s="5">
        <f>4250-247-210-75</f>
        <v>3718</v>
      </c>
    </row>
    <row r="127" spans="1:4" s="3" customFormat="1" x14ac:dyDescent="0.25">
      <c r="A127" s="18" t="s">
        <v>118</v>
      </c>
      <c r="B127" s="8" t="s">
        <v>234</v>
      </c>
      <c r="C127" s="4" t="s">
        <v>74</v>
      </c>
      <c r="D127" s="5">
        <f>2940-1964-140-242-450-104+652</f>
        <v>692</v>
      </c>
    </row>
    <row r="128" spans="1:4" s="3" customFormat="1" x14ac:dyDescent="0.25">
      <c r="A128" s="18" t="s">
        <v>118</v>
      </c>
      <c r="B128" s="8" t="s">
        <v>234</v>
      </c>
      <c r="C128" s="4" t="s">
        <v>147</v>
      </c>
      <c r="D128" s="5">
        <f>4770-940-381-85-420-128-250-1820</f>
        <v>746</v>
      </c>
    </row>
    <row r="129" spans="1:4" s="3" customFormat="1" x14ac:dyDescent="0.25">
      <c r="A129" s="18" t="s">
        <v>118</v>
      </c>
      <c r="B129" s="8" t="s">
        <v>234</v>
      </c>
      <c r="C129" s="4" t="s">
        <v>77</v>
      </c>
      <c r="D129" s="5">
        <v>95</v>
      </c>
    </row>
    <row r="130" spans="1:4" s="16" customFormat="1" x14ac:dyDescent="0.25">
      <c r="A130" s="18" t="s">
        <v>118</v>
      </c>
      <c r="B130" s="8" t="s">
        <v>234</v>
      </c>
      <c r="C130" s="38" t="s">
        <v>121</v>
      </c>
      <c r="D130" s="5">
        <f>5955-740-3520-180</f>
        <v>1515</v>
      </c>
    </row>
    <row r="131" spans="1:4" s="16" customFormat="1" x14ac:dyDescent="0.25">
      <c r="A131" s="18" t="s">
        <v>118</v>
      </c>
      <c r="B131" s="8" t="s">
        <v>234</v>
      </c>
      <c r="C131" s="38" t="s">
        <v>346</v>
      </c>
      <c r="D131" s="5">
        <f>6220-105</f>
        <v>6115</v>
      </c>
    </row>
    <row r="132" spans="1:4" s="3" customFormat="1" x14ac:dyDescent="0.25">
      <c r="A132" s="18" t="s">
        <v>118</v>
      </c>
      <c r="B132" s="8" t="s">
        <v>234</v>
      </c>
      <c r="C132" s="4" t="s">
        <v>155</v>
      </c>
      <c r="D132" s="5">
        <f>918-220-160-200</f>
        <v>338</v>
      </c>
    </row>
    <row r="133" spans="1:4" s="3" customFormat="1" x14ac:dyDescent="0.25">
      <c r="A133" s="18" t="s">
        <v>118</v>
      </c>
      <c r="B133" s="8" t="s">
        <v>234</v>
      </c>
      <c r="C133" s="4" t="s">
        <v>361</v>
      </c>
      <c r="D133" s="5">
        <v>3127</v>
      </c>
    </row>
    <row r="134" spans="1:4" s="3" customFormat="1" x14ac:dyDescent="0.25">
      <c r="A134" s="18" t="s">
        <v>118</v>
      </c>
      <c r="B134" s="8" t="s">
        <v>234</v>
      </c>
      <c r="C134" s="25" t="s">
        <v>71</v>
      </c>
      <c r="D134" s="5">
        <f>270-101</f>
        <v>169</v>
      </c>
    </row>
    <row r="135" spans="1:4" s="3" customFormat="1" x14ac:dyDescent="0.25">
      <c r="A135" s="18" t="s">
        <v>118</v>
      </c>
      <c r="B135" s="8" t="s">
        <v>234</v>
      </c>
      <c r="C135" s="4" t="s">
        <v>53</v>
      </c>
      <c r="D135" s="5">
        <f>6616-202-780-2440-3180</f>
        <v>14</v>
      </c>
    </row>
    <row r="136" spans="1:4" s="3" customFormat="1" x14ac:dyDescent="0.25">
      <c r="A136" s="18" t="s">
        <v>118</v>
      </c>
      <c r="B136" s="8" t="s">
        <v>234</v>
      </c>
      <c r="C136" s="4" t="s">
        <v>219</v>
      </c>
      <c r="D136" s="5">
        <f>7990-1200-320-320-2306</f>
        <v>3844</v>
      </c>
    </row>
    <row r="137" spans="1:4" s="3" customFormat="1" x14ac:dyDescent="0.25">
      <c r="A137" s="18" t="s">
        <v>118</v>
      </c>
      <c r="B137" s="8" t="s">
        <v>234</v>
      </c>
      <c r="C137" s="4" t="s">
        <v>218</v>
      </c>
      <c r="D137" s="5">
        <f>4060-2730-890</f>
        <v>440</v>
      </c>
    </row>
    <row r="138" spans="1:4" s="3" customFormat="1" x14ac:dyDescent="0.25">
      <c r="A138" s="18" t="s">
        <v>118</v>
      </c>
      <c r="B138" s="8" t="s">
        <v>234</v>
      </c>
      <c r="C138" s="4" t="s">
        <v>333</v>
      </c>
      <c r="D138" s="5">
        <f>886-443</f>
        <v>443</v>
      </c>
    </row>
    <row r="139" spans="1:4" s="16" customFormat="1" x14ac:dyDescent="0.25">
      <c r="A139" s="18" t="s">
        <v>118</v>
      </c>
      <c r="B139" s="8" t="s">
        <v>235</v>
      </c>
      <c r="C139" s="10" t="s">
        <v>59</v>
      </c>
      <c r="D139" s="5">
        <f>115-14-1-8</f>
        <v>92</v>
      </c>
    </row>
    <row r="140" spans="1:4" s="16" customFormat="1" x14ac:dyDescent="0.25">
      <c r="A140" s="18" t="s">
        <v>118</v>
      </c>
      <c r="B140" s="8" t="s">
        <v>235</v>
      </c>
      <c r="C140" s="10" t="s">
        <v>23</v>
      </c>
      <c r="D140" s="5">
        <f>268-44-17-7-10-2-43-25-15-30-30-32</f>
        <v>13</v>
      </c>
    </row>
    <row r="141" spans="1:4" s="16" customFormat="1" x14ac:dyDescent="0.25">
      <c r="A141" s="18" t="s">
        <v>118</v>
      </c>
      <c r="B141" s="8" t="s">
        <v>323</v>
      </c>
      <c r="C141" s="10" t="s">
        <v>52</v>
      </c>
      <c r="D141" s="5">
        <f>475-81-41-25-14-13-28-88-8-42</f>
        <v>135</v>
      </c>
    </row>
    <row r="142" spans="1:4" s="3" customFormat="1" x14ac:dyDescent="0.25">
      <c r="A142" s="18" t="s">
        <v>118</v>
      </c>
      <c r="B142" s="8" t="s">
        <v>323</v>
      </c>
      <c r="C142" s="4" t="s">
        <v>7</v>
      </c>
      <c r="D142" s="5">
        <f>1660-118-1092-106-35-54-192-15-28</f>
        <v>20</v>
      </c>
    </row>
    <row r="143" spans="1:4" s="3" customFormat="1" x14ac:dyDescent="0.25">
      <c r="A143" s="18" t="s">
        <v>118</v>
      </c>
      <c r="B143" s="8" t="s">
        <v>235</v>
      </c>
      <c r="C143" s="4" t="s">
        <v>39</v>
      </c>
      <c r="D143" s="5">
        <f>435-15-31-120-16</f>
        <v>253</v>
      </c>
    </row>
    <row r="144" spans="1:4" s="3" customFormat="1" x14ac:dyDescent="0.25">
      <c r="A144" s="18" t="s">
        <v>118</v>
      </c>
      <c r="B144" s="8" t="s">
        <v>235</v>
      </c>
      <c r="C144" s="4" t="s">
        <v>9</v>
      </c>
      <c r="D144" s="5">
        <f>2580-454-237-41-16-314-30-145-43-8-10-92-36-86</f>
        <v>1068</v>
      </c>
    </row>
    <row r="145" spans="1:4" s="3" customFormat="1" x14ac:dyDescent="0.25">
      <c r="A145" s="18" t="s">
        <v>118</v>
      </c>
      <c r="B145" s="8" t="s">
        <v>235</v>
      </c>
      <c r="C145" s="10" t="s">
        <v>27</v>
      </c>
      <c r="D145" s="5">
        <f>1970-890-19-91-71-110-110-25-31</f>
        <v>623</v>
      </c>
    </row>
    <row r="146" spans="1:4" s="3" customFormat="1" x14ac:dyDescent="0.25">
      <c r="A146" s="18" t="s">
        <v>118</v>
      </c>
      <c r="B146" s="8" t="s">
        <v>235</v>
      </c>
      <c r="C146" s="10" t="s">
        <v>11</v>
      </c>
      <c r="D146" s="5">
        <f>667-23-78-52-275</f>
        <v>239</v>
      </c>
    </row>
    <row r="147" spans="1:4" s="3" customFormat="1" x14ac:dyDescent="0.25">
      <c r="A147" s="18" t="s">
        <v>118</v>
      </c>
      <c r="B147" s="8" t="s">
        <v>235</v>
      </c>
      <c r="C147" s="4" t="s">
        <v>69</v>
      </c>
      <c r="D147" s="5">
        <f>8814-105-202-28-130-58-21-535-162-102-120-416-452-122-102-90-90-182-25-22</f>
        <v>5850</v>
      </c>
    </row>
    <row r="148" spans="1:4" s="3" customFormat="1" x14ac:dyDescent="0.25">
      <c r="A148" s="18" t="s">
        <v>118</v>
      </c>
      <c r="B148" s="8" t="s">
        <v>235</v>
      </c>
      <c r="C148" s="4" t="s">
        <v>70</v>
      </c>
      <c r="D148" s="5">
        <f>3400-30-85-265-955-423-28-165-850-46-35-30</f>
        <v>488</v>
      </c>
    </row>
    <row r="149" spans="1:4" s="3" customFormat="1" x14ac:dyDescent="0.25">
      <c r="A149" s="18" t="s">
        <v>118</v>
      </c>
      <c r="B149" s="8" t="s">
        <v>235</v>
      </c>
      <c r="C149" s="4" t="s">
        <v>147</v>
      </c>
      <c r="D149" s="5">
        <f>2510-97-455-1700-62-73</f>
        <v>123</v>
      </c>
    </row>
    <row r="150" spans="1:4" s="3" customFormat="1" x14ac:dyDescent="0.25">
      <c r="A150" s="18" t="s">
        <v>118</v>
      </c>
      <c r="B150" s="8" t="s">
        <v>235</v>
      </c>
      <c r="C150" s="4" t="s">
        <v>71</v>
      </c>
      <c r="D150" s="5">
        <f>1186-479-90-94-510</f>
        <v>13</v>
      </c>
    </row>
    <row r="151" spans="1:4" s="3" customFormat="1" x14ac:dyDescent="0.25">
      <c r="A151" s="18" t="s">
        <v>118</v>
      </c>
      <c r="B151" s="8" t="s">
        <v>235</v>
      </c>
      <c r="C151" s="25" t="s">
        <v>117</v>
      </c>
      <c r="D151" s="5">
        <f>1649-526-220</f>
        <v>903</v>
      </c>
    </row>
    <row r="152" spans="1:4" s="3" customFormat="1" x14ac:dyDescent="0.25">
      <c r="A152" s="18" t="s">
        <v>118</v>
      </c>
      <c r="B152" s="8" t="s">
        <v>235</v>
      </c>
      <c r="C152" s="25" t="s">
        <v>53</v>
      </c>
      <c r="D152" s="5">
        <f>3434-127-2210</f>
        <v>1097</v>
      </c>
    </row>
    <row r="153" spans="1:4" s="3" customFormat="1" x14ac:dyDescent="0.25">
      <c r="A153" s="18" t="s">
        <v>118</v>
      </c>
      <c r="B153" s="8" t="s">
        <v>235</v>
      </c>
      <c r="C153" s="4" t="s">
        <v>163</v>
      </c>
      <c r="D153" s="5">
        <f>7450-300-620</f>
        <v>6530</v>
      </c>
    </row>
    <row r="154" spans="1:4" s="3" customFormat="1" x14ac:dyDescent="0.25">
      <c r="A154" s="18" t="s">
        <v>118</v>
      </c>
      <c r="B154" s="30" t="s">
        <v>236</v>
      </c>
      <c r="C154" s="31" t="s">
        <v>18</v>
      </c>
      <c r="D154" s="5">
        <f>1737-2.5-1-8-23-370-2-4</f>
        <v>1326.5</v>
      </c>
    </row>
    <row r="155" spans="1:4" s="3" customFormat="1" x14ac:dyDescent="0.25">
      <c r="A155" s="18" t="s">
        <v>118</v>
      </c>
      <c r="B155" s="30" t="s">
        <v>236</v>
      </c>
      <c r="C155" s="42" t="s">
        <v>59</v>
      </c>
      <c r="D155" s="5">
        <f>2026-8-10-15-17</f>
        <v>1976</v>
      </c>
    </row>
    <row r="156" spans="1:4" s="3" customFormat="1" x14ac:dyDescent="0.25">
      <c r="A156" s="18" t="s">
        <v>118</v>
      </c>
      <c r="B156" s="30" t="s">
        <v>236</v>
      </c>
      <c r="C156" s="42" t="s">
        <v>22</v>
      </c>
      <c r="D156" s="5">
        <f>1810-420-170-84-520</f>
        <v>616</v>
      </c>
    </row>
    <row r="157" spans="1:4" s="3" customFormat="1" x14ac:dyDescent="0.25">
      <c r="A157" s="18" t="s">
        <v>118</v>
      </c>
      <c r="B157" s="30" t="s">
        <v>236</v>
      </c>
      <c r="C157" s="31" t="s">
        <v>211</v>
      </c>
      <c r="D157" s="5">
        <f>1530-80</f>
        <v>1450</v>
      </c>
    </row>
    <row r="158" spans="1:4" s="3" customFormat="1" x14ac:dyDescent="0.25">
      <c r="A158" s="18" t="s">
        <v>118</v>
      </c>
      <c r="B158" s="30" t="s">
        <v>236</v>
      </c>
      <c r="C158" s="42" t="s">
        <v>12</v>
      </c>
      <c r="D158" s="5">
        <v>9986</v>
      </c>
    </row>
    <row r="159" spans="1:4" s="3" customFormat="1" x14ac:dyDescent="0.25">
      <c r="A159" s="18" t="s">
        <v>118</v>
      </c>
      <c r="B159" s="30" t="s">
        <v>236</v>
      </c>
      <c r="C159" s="42" t="s">
        <v>9</v>
      </c>
      <c r="D159" s="5">
        <v>912</v>
      </c>
    </row>
    <row r="160" spans="1:4" s="3" customFormat="1" x14ac:dyDescent="0.25">
      <c r="A160" s="18" t="s">
        <v>118</v>
      </c>
      <c r="B160" s="13" t="s">
        <v>237</v>
      </c>
      <c r="C160" s="31" t="s">
        <v>39</v>
      </c>
      <c r="D160" s="5">
        <v>1972</v>
      </c>
    </row>
    <row r="161" spans="1:4" s="3" customFormat="1" x14ac:dyDescent="0.25">
      <c r="A161" s="18" t="s">
        <v>118</v>
      </c>
      <c r="B161" s="13" t="s">
        <v>237</v>
      </c>
      <c r="C161" s="31" t="s">
        <v>9</v>
      </c>
      <c r="D161" s="5">
        <v>9000</v>
      </c>
    </row>
    <row r="162" spans="1:4" s="3" customFormat="1" x14ac:dyDescent="0.25">
      <c r="A162" s="18" t="s">
        <v>118</v>
      </c>
      <c r="B162" s="37" t="s">
        <v>238</v>
      </c>
      <c r="C162" s="4" t="s">
        <v>12</v>
      </c>
      <c r="D162" s="5">
        <f>1308-150-80</f>
        <v>1078</v>
      </c>
    </row>
    <row r="163" spans="1:4" s="3" customFormat="1" x14ac:dyDescent="0.25">
      <c r="A163" s="18" t="s">
        <v>118</v>
      </c>
      <c r="B163" s="37" t="s">
        <v>238</v>
      </c>
      <c r="C163" s="4" t="s">
        <v>52</v>
      </c>
      <c r="D163" s="5">
        <v>915</v>
      </c>
    </row>
    <row r="164" spans="1:4" s="3" customFormat="1" x14ac:dyDescent="0.25">
      <c r="A164" s="18" t="s">
        <v>118</v>
      </c>
      <c r="B164" s="37" t="s">
        <v>238</v>
      </c>
      <c r="C164" s="4" t="s">
        <v>35</v>
      </c>
      <c r="D164" s="5">
        <f>1191-77-295-295-155</f>
        <v>369</v>
      </c>
    </row>
    <row r="165" spans="1:4" s="3" customFormat="1" x14ac:dyDescent="0.25">
      <c r="A165" s="18" t="s">
        <v>118</v>
      </c>
      <c r="B165" s="37" t="s">
        <v>238</v>
      </c>
      <c r="C165" s="27" t="s">
        <v>36</v>
      </c>
      <c r="D165" s="5">
        <f>1211-8-290-150</f>
        <v>763</v>
      </c>
    </row>
    <row r="166" spans="1:4" s="3" customFormat="1" x14ac:dyDescent="0.25">
      <c r="A166" s="18" t="s">
        <v>118</v>
      </c>
      <c r="B166" s="37" t="s">
        <v>238</v>
      </c>
      <c r="C166" s="4" t="s">
        <v>19</v>
      </c>
      <c r="D166" s="5">
        <f>1982-19-490</f>
        <v>1473</v>
      </c>
    </row>
    <row r="167" spans="1:4" s="3" customFormat="1" x14ac:dyDescent="0.25">
      <c r="A167" s="18" t="s">
        <v>118</v>
      </c>
      <c r="B167" s="37" t="s">
        <v>238</v>
      </c>
      <c r="C167" s="4" t="s">
        <v>39</v>
      </c>
      <c r="D167" s="5">
        <f>1740-480-390-6-73-815</f>
        <v>-24</v>
      </c>
    </row>
    <row r="168" spans="1:4" s="16" customFormat="1" x14ac:dyDescent="0.25">
      <c r="A168" s="18" t="s">
        <v>118</v>
      </c>
      <c r="B168" s="37" t="s">
        <v>238</v>
      </c>
      <c r="C168" s="38" t="s">
        <v>11</v>
      </c>
      <c r="D168" s="5">
        <f>875-19</f>
        <v>856</v>
      </c>
    </row>
    <row r="169" spans="1:4" s="16" customFormat="1" x14ac:dyDescent="0.25">
      <c r="A169" s="18" t="s">
        <v>118</v>
      </c>
      <c r="B169" s="37" t="s">
        <v>238</v>
      </c>
      <c r="C169" s="38" t="s">
        <v>40</v>
      </c>
      <c r="D169" s="5">
        <f>1778-18-565</f>
        <v>1195</v>
      </c>
    </row>
    <row r="170" spans="1:4" s="16" customFormat="1" x14ac:dyDescent="0.25">
      <c r="A170" s="18" t="s">
        <v>118</v>
      </c>
      <c r="B170" s="37" t="s">
        <v>239</v>
      </c>
      <c r="C170" s="41" t="s">
        <v>15</v>
      </c>
      <c r="D170" s="5">
        <v>820</v>
      </c>
    </row>
    <row r="171" spans="1:4" s="3" customFormat="1" x14ac:dyDescent="0.25">
      <c r="A171" s="18" t="s">
        <v>118</v>
      </c>
      <c r="B171" s="11" t="s">
        <v>240</v>
      </c>
      <c r="C171" s="29" t="s">
        <v>25</v>
      </c>
      <c r="D171" s="5">
        <v>4137</v>
      </c>
    </row>
    <row r="172" spans="1:4" s="3" customFormat="1" x14ac:dyDescent="0.25">
      <c r="A172" s="18" t="s">
        <v>118</v>
      </c>
      <c r="B172" s="8" t="s">
        <v>241</v>
      </c>
      <c r="C172" s="29" t="s">
        <v>14</v>
      </c>
      <c r="D172" s="5">
        <f>3591-53</f>
        <v>3538</v>
      </c>
    </row>
    <row r="173" spans="1:4" s="3" customFormat="1" x14ac:dyDescent="0.25">
      <c r="A173" s="18" t="s">
        <v>118</v>
      </c>
      <c r="B173" s="11" t="s">
        <v>241</v>
      </c>
      <c r="C173" s="29" t="s">
        <v>35</v>
      </c>
      <c r="D173" s="5">
        <v>2717</v>
      </c>
    </row>
    <row r="174" spans="1:4" s="3" customFormat="1" x14ac:dyDescent="0.25">
      <c r="A174" s="18" t="s">
        <v>118</v>
      </c>
      <c r="B174" s="8" t="s">
        <v>242</v>
      </c>
      <c r="C174" s="4" t="s">
        <v>41</v>
      </c>
      <c r="D174" s="5">
        <f>1070-310</f>
        <v>760</v>
      </c>
    </row>
    <row r="175" spans="1:4" x14ac:dyDescent="0.25">
      <c r="A175" s="18" t="s">
        <v>118</v>
      </c>
      <c r="B175" s="8" t="s">
        <v>242</v>
      </c>
      <c r="C175" s="4" t="s">
        <v>37</v>
      </c>
      <c r="D175" s="5">
        <v>3740</v>
      </c>
    </row>
    <row r="176" spans="1:4" x14ac:dyDescent="0.25">
      <c r="A176" s="18" t="s">
        <v>118</v>
      </c>
      <c r="B176" s="8" t="s">
        <v>242</v>
      </c>
      <c r="C176" s="4" t="s">
        <v>9</v>
      </c>
      <c r="D176" s="5">
        <f>1880-108-180-95</f>
        <v>1497</v>
      </c>
    </row>
    <row r="177" spans="1:4" s="3" customFormat="1" x14ac:dyDescent="0.25">
      <c r="A177" s="18" t="s">
        <v>118</v>
      </c>
      <c r="B177" s="13" t="s">
        <v>243</v>
      </c>
      <c r="C177" s="4" t="s">
        <v>9</v>
      </c>
      <c r="D177" s="5">
        <v>900</v>
      </c>
    </row>
    <row r="178" spans="1:4" x14ac:dyDescent="0.25">
      <c r="A178" s="18" t="s">
        <v>118</v>
      </c>
      <c r="B178" s="13" t="s">
        <v>243</v>
      </c>
      <c r="C178" s="4" t="s">
        <v>27</v>
      </c>
      <c r="D178" s="5">
        <v>4000</v>
      </c>
    </row>
    <row r="179" spans="1:4" s="3" customFormat="1" x14ac:dyDescent="0.25">
      <c r="A179" s="18" t="s">
        <v>118</v>
      </c>
      <c r="B179" s="13" t="s">
        <v>243</v>
      </c>
      <c r="C179" s="10" t="s">
        <v>15</v>
      </c>
      <c r="D179" s="5">
        <v>718</v>
      </c>
    </row>
    <row r="180" spans="1:4" s="3" customFormat="1" x14ac:dyDescent="0.25">
      <c r="A180" s="18" t="s">
        <v>118</v>
      </c>
      <c r="B180" s="13" t="s">
        <v>243</v>
      </c>
      <c r="C180" s="10" t="s">
        <v>69</v>
      </c>
      <c r="D180" s="5">
        <v>782</v>
      </c>
    </row>
    <row r="181" spans="1:4" x14ac:dyDescent="0.25">
      <c r="A181" s="18" t="s">
        <v>118</v>
      </c>
      <c r="B181" s="8" t="s">
        <v>244</v>
      </c>
      <c r="C181" s="4" t="s">
        <v>59</v>
      </c>
      <c r="D181" s="5">
        <f>2162-11-2</f>
        <v>2149</v>
      </c>
    </row>
    <row r="182" spans="1:4" s="3" customFormat="1" x14ac:dyDescent="0.25">
      <c r="A182" s="18" t="s">
        <v>118</v>
      </c>
      <c r="B182" s="8" t="s">
        <v>244</v>
      </c>
      <c r="C182" s="10" t="s">
        <v>168</v>
      </c>
      <c r="D182" s="5">
        <f>946-330-270</f>
        <v>346</v>
      </c>
    </row>
    <row r="183" spans="1:4" s="3" customFormat="1" x14ac:dyDescent="0.25">
      <c r="A183" s="18" t="s">
        <v>118</v>
      </c>
      <c r="B183" s="8" t="s">
        <v>244</v>
      </c>
      <c r="C183" s="10" t="s">
        <v>12</v>
      </c>
      <c r="D183" s="5">
        <f>822-10-18-88</f>
        <v>706</v>
      </c>
    </row>
    <row r="184" spans="1:4" s="3" customFormat="1" x14ac:dyDescent="0.25">
      <c r="A184" s="18" t="s">
        <v>118</v>
      </c>
      <c r="B184" s="8" t="s">
        <v>244</v>
      </c>
      <c r="C184" s="10" t="s">
        <v>38</v>
      </c>
      <c r="D184" s="5">
        <f>3860-242</f>
        <v>3618</v>
      </c>
    </row>
    <row r="185" spans="1:4" s="3" customFormat="1" x14ac:dyDescent="0.25">
      <c r="A185" s="18" t="s">
        <v>118</v>
      </c>
      <c r="B185" s="8" t="s">
        <v>244</v>
      </c>
      <c r="C185" s="10" t="s">
        <v>35</v>
      </c>
      <c r="D185" s="5">
        <f>300-210</f>
        <v>90</v>
      </c>
    </row>
    <row r="186" spans="1:4" s="3" customFormat="1" x14ac:dyDescent="0.25">
      <c r="A186" s="18" t="s">
        <v>118</v>
      </c>
      <c r="B186" s="8" t="s">
        <v>244</v>
      </c>
      <c r="C186" s="10" t="s">
        <v>26</v>
      </c>
      <c r="D186" s="5">
        <v>470</v>
      </c>
    </row>
    <row r="187" spans="1:4" s="3" customFormat="1" x14ac:dyDescent="0.25">
      <c r="A187" s="18" t="s">
        <v>118</v>
      </c>
      <c r="B187" s="8" t="s">
        <v>244</v>
      </c>
      <c r="C187" s="10" t="s">
        <v>19</v>
      </c>
      <c r="D187" s="5">
        <f>1779-225</f>
        <v>1554</v>
      </c>
    </row>
    <row r="188" spans="1:4" s="3" customFormat="1" x14ac:dyDescent="0.25">
      <c r="A188" s="18" t="s">
        <v>118</v>
      </c>
      <c r="B188" s="8" t="s">
        <v>244</v>
      </c>
      <c r="C188" s="4" t="s">
        <v>15</v>
      </c>
      <c r="D188" s="5">
        <v>9421</v>
      </c>
    </row>
    <row r="189" spans="1:4" x14ac:dyDescent="0.25">
      <c r="A189" s="18" t="s">
        <v>118</v>
      </c>
      <c r="B189" s="8" t="s">
        <v>244</v>
      </c>
      <c r="C189" s="4" t="s">
        <v>8</v>
      </c>
      <c r="D189" s="5">
        <v>7154</v>
      </c>
    </row>
    <row r="190" spans="1:4" x14ac:dyDescent="0.25">
      <c r="A190" s="18" t="s">
        <v>118</v>
      </c>
      <c r="B190" s="8" t="s">
        <v>244</v>
      </c>
      <c r="C190" s="4" t="s">
        <v>69</v>
      </c>
      <c r="D190" s="5">
        <v>1850</v>
      </c>
    </row>
    <row r="191" spans="1:4" s="3" customFormat="1" x14ac:dyDescent="0.25">
      <c r="A191" s="18" t="s">
        <v>118</v>
      </c>
      <c r="B191" s="13" t="s">
        <v>245</v>
      </c>
      <c r="C191" s="2" t="s">
        <v>14</v>
      </c>
      <c r="D191" s="5">
        <v>2250</v>
      </c>
    </row>
    <row r="192" spans="1:4" s="3" customFormat="1" x14ac:dyDescent="0.25">
      <c r="A192" s="18" t="s">
        <v>118</v>
      </c>
      <c r="B192" s="13" t="s">
        <v>246</v>
      </c>
      <c r="C192" s="2" t="s">
        <v>6</v>
      </c>
      <c r="D192" s="5">
        <v>5704</v>
      </c>
    </row>
    <row r="193" spans="1:4" s="3" customFormat="1" x14ac:dyDescent="0.25">
      <c r="A193" s="18" t="s">
        <v>118</v>
      </c>
      <c r="B193" s="50">
        <v>1.2343999999999999</v>
      </c>
      <c r="C193" s="4" t="s">
        <v>11</v>
      </c>
      <c r="D193" s="5">
        <f>798-360</f>
        <v>438</v>
      </c>
    </row>
    <row r="194" spans="1:4" s="3" customFormat="1" x14ac:dyDescent="0.25">
      <c r="A194" s="18" t="s">
        <v>118</v>
      </c>
      <c r="B194" s="50">
        <v>1.2343</v>
      </c>
      <c r="C194" s="4" t="s">
        <v>114</v>
      </c>
      <c r="D194" s="5">
        <v>834</v>
      </c>
    </row>
    <row r="195" spans="1:4" s="16" customFormat="1" x14ac:dyDescent="0.25">
      <c r="A195" s="18" t="s">
        <v>118</v>
      </c>
      <c r="B195" s="49">
        <v>1.208</v>
      </c>
      <c r="C195" s="4" t="s">
        <v>95</v>
      </c>
      <c r="D195" s="5">
        <f>1292-9-7-260-8</f>
        <v>1008</v>
      </c>
    </row>
    <row r="196" spans="1:4" s="16" customFormat="1" x14ac:dyDescent="0.25">
      <c r="A196" s="18" t="s">
        <v>118</v>
      </c>
      <c r="B196" s="49">
        <v>1.208</v>
      </c>
      <c r="C196" s="4" t="s">
        <v>12</v>
      </c>
      <c r="D196" s="5">
        <v>640</v>
      </c>
    </row>
    <row r="197" spans="1:4" s="16" customFormat="1" x14ac:dyDescent="0.25">
      <c r="A197" s="18" t="s">
        <v>118</v>
      </c>
      <c r="B197" s="49">
        <v>1.208</v>
      </c>
      <c r="C197" s="4" t="s">
        <v>37</v>
      </c>
      <c r="D197" s="5">
        <v>459</v>
      </c>
    </row>
    <row r="198" spans="1:4" s="16" customFormat="1" x14ac:dyDescent="0.25">
      <c r="A198" s="18" t="s">
        <v>118</v>
      </c>
      <c r="B198" s="49">
        <v>1.208</v>
      </c>
      <c r="C198" s="4" t="s">
        <v>7</v>
      </c>
      <c r="D198" s="5">
        <f>4719-27-844-22-33</f>
        <v>3793</v>
      </c>
    </row>
    <row r="199" spans="1:4" s="3" customFormat="1" x14ac:dyDescent="0.25">
      <c r="A199" s="18" t="s">
        <v>118</v>
      </c>
      <c r="B199" s="49">
        <v>1.208</v>
      </c>
      <c r="C199" s="10" t="s">
        <v>27</v>
      </c>
      <c r="D199" s="5">
        <f>1031-91-127-26-165</f>
        <v>622</v>
      </c>
    </row>
    <row r="200" spans="1:4" s="3" customFormat="1" x14ac:dyDescent="0.25">
      <c r="A200" s="18" t="s">
        <v>118</v>
      </c>
      <c r="B200" s="49">
        <v>1.208</v>
      </c>
      <c r="C200" s="10" t="s">
        <v>40</v>
      </c>
      <c r="D200" s="5">
        <f>584-66-13-41-27-278-7-13-98</f>
        <v>41</v>
      </c>
    </row>
    <row r="201" spans="1:4" s="3" customFormat="1" x14ac:dyDescent="0.25">
      <c r="A201" s="18" t="s">
        <v>118</v>
      </c>
      <c r="B201" s="49">
        <v>1.208</v>
      </c>
      <c r="C201" s="10" t="s">
        <v>48</v>
      </c>
      <c r="D201" s="5">
        <f>777-17-125</f>
        <v>635</v>
      </c>
    </row>
    <row r="202" spans="1:4" s="3" customFormat="1" x14ac:dyDescent="0.25">
      <c r="A202" s="18" t="s">
        <v>118</v>
      </c>
      <c r="B202" s="49">
        <v>1.208</v>
      </c>
      <c r="C202" s="10" t="s">
        <v>8</v>
      </c>
      <c r="D202" s="5">
        <f>1120-157-98-17-31-155</f>
        <v>662</v>
      </c>
    </row>
    <row r="203" spans="1:4" s="3" customFormat="1" x14ac:dyDescent="0.25">
      <c r="A203" s="18" t="s">
        <v>118</v>
      </c>
      <c r="B203" s="49">
        <v>1.208</v>
      </c>
      <c r="C203" s="10" t="s">
        <v>2</v>
      </c>
      <c r="D203" s="5">
        <f>1240-39-60</f>
        <v>1141</v>
      </c>
    </row>
    <row r="204" spans="1:4" s="3" customFormat="1" x14ac:dyDescent="0.25">
      <c r="A204" s="18" t="s">
        <v>118</v>
      </c>
      <c r="B204" s="13" t="s">
        <v>247</v>
      </c>
      <c r="C204" s="10" t="s">
        <v>41</v>
      </c>
      <c r="D204" s="5">
        <v>1810</v>
      </c>
    </row>
    <row r="205" spans="1:4" s="3" customFormat="1" x14ac:dyDescent="0.25">
      <c r="A205" s="18" t="s">
        <v>118</v>
      </c>
      <c r="B205" s="13" t="s">
        <v>248</v>
      </c>
      <c r="C205" s="10" t="s">
        <v>95</v>
      </c>
      <c r="D205" s="5">
        <v>990</v>
      </c>
    </row>
    <row r="206" spans="1:4" s="3" customFormat="1" x14ac:dyDescent="0.25">
      <c r="A206" s="18" t="s">
        <v>118</v>
      </c>
      <c r="B206" s="13" t="s">
        <v>248</v>
      </c>
      <c r="C206" s="10" t="s">
        <v>33</v>
      </c>
      <c r="D206" s="5">
        <f>1400-6</f>
        <v>1394</v>
      </c>
    </row>
    <row r="207" spans="1:4" s="3" customFormat="1" x14ac:dyDescent="0.25">
      <c r="A207" s="18" t="s">
        <v>118</v>
      </c>
      <c r="B207" s="13" t="s">
        <v>248</v>
      </c>
      <c r="C207" s="10" t="s">
        <v>210</v>
      </c>
      <c r="D207" s="5">
        <v>2870</v>
      </c>
    </row>
    <row r="208" spans="1:4" s="3" customFormat="1" x14ac:dyDescent="0.25">
      <c r="A208" s="18" t="s">
        <v>118</v>
      </c>
      <c r="B208" s="13" t="s">
        <v>248</v>
      </c>
      <c r="C208" s="10" t="s">
        <v>21</v>
      </c>
      <c r="D208" s="5">
        <v>980</v>
      </c>
    </row>
    <row r="209" spans="1:4" s="3" customFormat="1" x14ac:dyDescent="0.25">
      <c r="A209" s="18" t="s">
        <v>118</v>
      </c>
      <c r="B209" s="13" t="s">
        <v>248</v>
      </c>
      <c r="C209" s="10" t="s">
        <v>41</v>
      </c>
      <c r="D209" s="5">
        <v>320</v>
      </c>
    </row>
    <row r="210" spans="1:4" s="3" customFormat="1" x14ac:dyDescent="0.25">
      <c r="A210" s="18" t="s">
        <v>118</v>
      </c>
      <c r="B210" s="13" t="s">
        <v>248</v>
      </c>
      <c r="C210" s="10" t="s">
        <v>35</v>
      </c>
      <c r="D210" s="5">
        <v>2450</v>
      </c>
    </row>
    <row r="211" spans="1:4" s="3" customFormat="1" x14ac:dyDescent="0.25">
      <c r="A211" s="18" t="s">
        <v>118</v>
      </c>
      <c r="B211" s="8" t="s">
        <v>249</v>
      </c>
      <c r="C211" s="32" t="s">
        <v>58</v>
      </c>
      <c r="D211" s="5">
        <v>2.4</v>
      </c>
    </row>
    <row r="212" spans="1:4" s="3" customFormat="1" x14ac:dyDescent="0.25">
      <c r="A212" s="18" t="s">
        <v>118</v>
      </c>
      <c r="B212" s="8" t="s">
        <v>249</v>
      </c>
      <c r="C212" s="27" t="s">
        <v>54</v>
      </c>
      <c r="D212" s="5">
        <v>7</v>
      </c>
    </row>
    <row r="213" spans="1:4" s="3" customFormat="1" x14ac:dyDescent="0.25">
      <c r="A213" s="18" t="s">
        <v>118</v>
      </c>
      <c r="B213" s="8" t="s">
        <v>249</v>
      </c>
      <c r="C213" s="32" t="s">
        <v>52</v>
      </c>
      <c r="D213" s="5">
        <f>125-20-11-4</f>
        <v>90</v>
      </c>
    </row>
    <row r="214" spans="1:4" s="3" customFormat="1" x14ac:dyDescent="0.25">
      <c r="A214" s="18" t="s">
        <v>118</v>
      </c>
      <c r="B214" s="8" t="s">
        <v>250</v>
      </c>
      <c r="C214" s="32" t="s">
        <v>203</v>
      </c>
      <c r="D214" s="5">
        <v>21</v>
      </c>
    </row>
    <row r="215" spans="1:4" s="3" customFormat="1" x14ac:dyDescent="0.25">
      <c r="A215" s="18" t="s">
        <v>118</v>
      </c>
      <c r="B215" s="8">
        <v>1.4020999999999999</v>
      </c>
      <c r="C215" s="32" t="s">
        <v>18</v>
      </c>
      <c r="D215" s="5">
        <f>4884-133-1140</f>
        <v>3611</v>
      </c>
    </row>
    <row r="216" spans="1:4" s="3" customFormat="1" x14ac:dyDescent="0.25">
      <c r="A216" s="18" t="s">
        <v>118</v>
      </c>
      <c r="B216" s="8" t="s">
        <v>251</v>
      </c>
      <c r="C216" s="32" t="s">
        <v>36</v>
      </c>
      <c r="D216" s="5">
        <f>206-90</f>
        <v>116</v>
      </c>
    </row>
    <row r="217" spans="1:4" s="3" customFormat="1" x14ac:dyDescent="0.25">
      <c r="A217" s="18" t="s">
        <v>118</v>
      </c>
      <c r="B217" s="8">
        <v>1.4028</v>
      </c>
      <c r="C217" s="32" t="s">
        <v>5</v>
      </c>
      <c r="D217" s="5">
        <f>245-4-190</f>
        <v>51</v>
      </c>
    </row>
    <row r="218" spans="1:4" s="3" customFormat="1" x14ac:dyDescent="0.25">
      <c r="A218" s="18" t="s">
        <v>118</v>
      </c>
      <c r="B218" s="8">
        <v>1.4300999999999999</v>
      </c>
      <c r="C218" s="32" t="s">
        <v>26</v>
      </c>
      <c r="D218" s="5">
        <f>45-5</f>
        <v>40</v>
      </c>
    </row>
    <row r="219" spans="1:4" s="3" customFormat="1" x14ac:dyDescent="0.25">
      <c r="A219" s="18" t="s">
        <v>118</v>
      </c>
      <c r="B219" s="8" t="s">
        <v>252</v>
      </c>
      <c r="C219" s="32" t="s">
        <v>197</v>
      </c>
      <c r="D219" s="5">
        <f>60-8-9-21</f>
        <v>22</v>
      </c>
    </row>
    <row r="220" spans="1:4" s="16" customFormat="1" x14ac:dyDescent="0.25">
      <c r="A220" s="18" t="s">
        <v>118</v>
      </c>
      <c r="B220" s="13">
        <v>1.4400999999999999</v>
      </c>
      <c r="C220" s="32" t="s">
        <v>94</v>
      </c>
      <c r="D220" s="5">
        <v>91</v>
      </c>
    </row>
    <row r="221" spans="1:4" s="3" customFormat="1" x14ac:dyDescent="0.25">
      <c r="A221" s="18" t="s">
        <v>118</v>
      </c>
      <c r="B221" s="52">
        <v>1.4418</v>
      </c>
      <c r="C221" s="32" t="s">
        <v>35</v>
      </c>
      <c r="D221" s="5">
        <f>68-36-16</f>
        <v>16</v>
      </c>
    </row>
    <row r="222" spans="1:4" s="3" customFormat="1" x14ac:dyDescent="0.25">
      <c r="A222" s="18" t="s">
        <v>118</v>
      </c>
      <c r="B222" s="52">
        <v>1.4418</v>
      </c>
      <c r="C222" s="32" t="s">
        <v>26</v>
      </c>
      <c r="D222" s="5">
        <f>312-210-64</f>
        <v>38</v>
      </c>
    </row>
    <row r="223" spans="1:4" s="3" customFormat="1" x14ac:dyDescent="0.25">
      <c r="A223" s="19" t="s">
        <v>118</v>
      </c>
      <c r="B223" s="13" t="s">
        <v>253</v>
      </c>
      <c r="C223" s="27" t="s">
        <v>195</v>
      </c>
      <c r="D223" s="5">
        <f>19200-4617-5346-50-1080</f>
        <v>8107</v>
      </c>
    </row>
    <row r="224" spans="1:4" s="3" customFormat="1" x14ac:dyDescent="0.25">
      <c r="A224" s="18" t="s">
        <v>111</v>
      </c>
      <c r="B224" s="8" t="s">
        <v>254</v>
      </c>
      <c r="C224" s="4" t="s">
        <v>13</v>
      </c>
      <c r="D224" s="5">
        <v>265</v>
      </c>
    </row>
    <row r="225" spans="1:4" s="3" customFormat="1" x14ac:dyDescent="0.25">
      <c r="A225" s="18" t="s">
        <v>111</v>
      </c>
      <c r="B225" s="8" t="s">
        <v>255</v>
      </c>
      <c r="C225" s="4" t="s">
        <v>66</v>
      </c>
      <c r="D225" s="5">
        <f>464-24-12</f>
        <v>428</v>
      </c>
    </row>
    <row r="226" spans="1:4" s="3" customFormat="1" x14ac:dyDescent="0.25">
      <c r="A226" s="18" t="s">
        <v>111</v>
      </c>
      <c r="B226" s="8" t="s">
        <v>227</v>
      </c>
      <c r="C226" s="2" t="s">
        <v>10</v>
      </c>
      <c r="D226" s="5">
        <f>90-7-15-3-16-11-11-7-7-5</f>
        <v>8</v>
      </c>
    </row>
    <row r="227" spans="1:4" s="3" customFormat="1" x14ac:dyDescent="0.25">
      <c r="A227" s="18" t="s">
        <v>111</v>
      </c>
      <c r="B227" s="8" t="s">
        <v>228</v>
      </c>
      <c r="C227" s="4" t="s">
        <v>24</v>
      </c>
      <c r="D227" s="5">
        <f>1570-9-25-13-3-16-9-13-4-3-13-25-13-13</f>
        <v>1411</v>
      </c>
    </row>
    <row r="228" spans="1:4" s="16" customFormat="1" x14ac:dyDescent="0.25">
      <c r="A228" s="18" t="s">
        <v>111</v>
      </c>
      <c r="B228" s="8" t="s">
        <v>228</v>
      </c>
      <c r="C228" s="4" t="s">
        <v>66</v>
      </c>
      <c r="D228" s="5">
        <f>664-47</f>
        <v>617</v>
      </c>
    </row>
    <row r="229" spans="1:4" s="3" customFormat="1" x14ac:dyDescent="0.25">
      <c r="A229" s="18" t="s">
        <v>111</v>
      </c>
      <c r="B229" s="8" t="s">
        <v>256</v>
      </c>
      <c r="C229" s="4" t="s">
        <v>182</v>
      </c>
      <c r="D229" s="5">
        <f>2420-28</f>
        <v>2392</v>
      </c>
    </row>
    <row r="230" spans="1:4" x14ac:dyDescent="0.25">
      <c r="A230" s="18" t="s">
        <v>119</v>
      </c>
      <c r="B230" s="8">
        <v>1.2343999999999999</v>
      </c>
      <c r="C230" s="4" t="s">
        <v>131</v>
      </c>
      <c r="D230" s="5">
        <v>5290</v>
      </c>
    </row>
    <row r="231" spans="1:4" x14ac:dyDescent="0.25">
      <c r="A231" s="18" t="s">
        <v>119</v>
      </c>
      <c r="B231" s="8">
        <v>1.2343999999999999</v>
      </c>
      <c r="C231" s="4" t="s">
        <v>132</v>
      </c>
      <c r="D231" s="5">
        <v>4680</v>
      </c>
    </row>
    <row r="232" spans="1:4" x14ac:dyDescent="0.25">
      <c r="A232" s="18" t="s">
        <v>119</v>
      </c>
      <c r="B232" s="33" t="s">
        <v>256</v>
      </c>
      <c r="C232" s="4" t="s">
        <v>64</v>
      </c>
      <c r="D232" s="5">
        <f>4877-57-48</f>
        <v>4772</v>
      </c>
    </row>
    <row r="233" spans="1:4" x14ac:dyDescent="0.25">
      <c r="A233" s="18" t="s">
        <v>119</v>
      </c>
      <c r="B233" s="8" t="s">
        <v>311</v>
      </c>
      <c r="C233" s="4" t="s">
        <v>130</v>
      </c>
      <c r="D233" s="5">
        <v>7390</v>
      </c>
    </row>
    <row r="234" spans="1:4" x14ac:dyDescent="0.25">
      <c r="A234" s="18" t="s">
        <v>119</v>
      </c>
      <c r="B234" s="8" t="s">
        <v>311</v>
      </c>
      <c r="C234" s="4" t="s">
        <v>307</v>
      </c>
      <c r="D234" s="5">
        <f>4570-351-174-390-2270-1150-8-27-17-23-38</f>
        <v>122</v>
      </c>
    </row>
    <row r="235" spans="1:4" x14ac:dyDescent="0.25">
      <c r="A235" s="18" t="s">
        <v>119</v>
      </c>
      <c r="B235" s="8" t="s">
        <v>311</v>
      </c>
      <c r="C235" s="4" t="s">
        <v>308</v>
      </c>
      <c r="D235" s="5">
        <f>488-76</f>
        <v>412</v>
      </c>
    </row>
    <row r="236" spans="1:4" s="22" customFormat="1" ht="17.25" customHeight="1" x14ac:dyDescent="0.25">
      <c r="A236" s="18" t="s">
        <v>119</v>
      </c>
      <c r="B236" s="8" t="s">
        <v>223</v>
      </c>
      <c r="C236" s="56" t="s">
        <v>359</v>
      </c>
      <c r="D236" s="5">
        <f>19454-8550</f>
        <v>10904</v>
      </c>
    </row>
    <row r="237" spans="1:4" s="22" customFormat="1" ht="17.25" customHeight="1" x14ac:dyDescent="0.25">
      <c r="A237" s="18" t="s">
        <v>119</v>
      </c>
      <c r="B237" s="8" t="s">
        <v>223</v>
      </c>
      <c r="C237" s="32" t="s">
        <v>68</v>
      </c>
      <c r="D237" s="5">
        <f>2156-240-205-205-120-260-18-110</f>
        <v>998</v>
      </c>
    </row>
    <row r="238" spans="1:4" x14ac:dyDescent="0.25">
      <c r="A238" s="18" t="s">
        <v>119</v>
      </c>
      <c r="B238" s="8" t="s">
        <v>223</v>
      </c>
      <c r="C238" s="4" t="s">
        <v>328</v>
      </c>
      <c r="D238" s="5">
        <f>1852-12-640-1140</f>
        <v>60</v>
      </c>
    </row>
    <row r="239" spans="1:4" x14ac:dyDescent="0.25">
      <c r="A239" s="18" t="s">
        <v>119</v>
      </c>
      <c r="B239" s="8" t="s">
        <v>223</v>
      </c>
      <c r="C239" s="4" t="s">
        <v>314</v>
      </c>
      <c r="D239" s="5">
        <f>1696-88-8-446-72-94-8-315-195-30</f>
        <v>440</v>
      </c>
    </row>
    <row r="240" spans="1:4" x14ac:dyDescent="0.25">
      <c r="A240" s="18" t="s">
        <v>119</v>
      </c>
      <c r="B240" s="8" t="s">
        <v>223</v>
      </c>
      <c r="C240" s="4" t="s">
        <v>313</v>
      </c>
      <c r="D240" s="5">
        <f>1131-14-44</f>
        <v>1073</v>
      </c>
    </row>
    <row r="241" spans="1:4" x14ac:dyDescent="0.25">
      <c r="A241" s="18" t="s">
        <v>119</v>
      </c>
      <c r="B241" s="8" t="s">
        <v>223</v>
      </c>
      <c r="C241" s="4" t="s">
        <v>56</v>
      </c>
      <c r="D241" s="5">
        <f>60-20</f>
        <v>40</v>
      </c>
    </row>
    <row r="242" spans="1:4" x14ac:dyDescent="0.25">
      <c r="A242" s="18" t="s">
        <v>119</v>
      </c>
      <c r="B242" s="8" t="s">
        <v>223</v>
      </c>
      <c r="C242" s="4" t="s">
        <v>177</v>
      </c>
      <c r="D242" s="5">
        <f>3768-1900</f>
        <v>1868</v>
      </c>
    </row>
    <row r="243" spans="1:4" x14ac:dyDescent="0.25">
      <c r="A243" s="18" t="s">
        <v>119</v>
      </c>
      <c r="B243" s="8" t="s">
        <v>257</v>
      </c>
      <c r="C243" s="4" t="s">
        <v>330</v>
      </c>
      <c r="D243" s="5">
        <f>7065-2350-3029-82-52-77-13-391-90-88-16-16-70-120-62-140</f>
        <v>469</v>
      </c>
    </row>
    <row r="244" spans="1:4" x14ac:dyDescent="0.25">
      <c r="A244" s="18" t="s">
        <v>119</v>
      </c>
      <c r="B244" s="8" t="s">
        <v>223</v>
      </c>
      <c r="C244" s="4" t="s">
        <v>343</v>
      </c>
      <c r="D244" s="5">
        <v>825</v>
      </c>
    </row>
    <row r="245" spans="1:4" x14ac:dyDescent="0.25">
      <c r="A245" s="18" t="s">
        <v>119</v>
      </c>
      <c r="B245" s="8" t="s">
        <v>223</v>
      </c>
      <c r="C245" s="4" t="s">
        <v>129</v>
      </c>
      <c r="D245" s="5">
        <f>2765-559-38-1430-139</f>
        <v>599</v>
      </c>
    </row>
    <row r="246" spans="1:4" x14ac:dyDescent="0.25">
      <c r="A246" s="18" t="s">
        <v>119</v>
      </c>
      <c r="B246" s="8" t="s">
        <v>257</v>
      </c>
      <c r="C246" s="4" t="s">
        <v>129</v>
      </c>
      <c r="D246" s="5">
        <v>2840</v>
      </c>
    </row>
    <row r="247" spans="1:4" x14ac:dyDescent="0.25">
      <c r="A247" s="18" t="s">
        <v>119</v>
      </c>
      <c r="B247" s="8" t="s">
        <v>223</v>
      </c>
      <c r="C247" s="4" t="s">
        <v>164</v>
      </c>
      <c r="D247" s="5">
        <f>590-62-113-66</f>
        <v>349</v>
      </c>
    </row>
    <row r="248" spans="1:4" x14ac:dyDescent="0.25">
      <c r="A248" s="18" t="s">
        <v>119</v>
      </c>
      <c r="B248" s="8" t="s">
        <v>223</v>
      </c>
      <c r="C248" s="4" t="s">
        <v>351</v>
      </c>
      <c r="D248" s="5">
        <f>2355-306-218-186</f>
        <v>1645</v>
      </c>
    </row>
    <row r="249" spans="1:4" s="3" customFormat="1" x14ac:dyDescent="0.25">
      <c r="A249" s="18" t="s">
        <v>119</v>
      </c>
      <c r="B249" s="8" t="s">
        <v>223</v>
      </c>
      <c r="C249" s="10" t="s">
        <v>184</v>
      </c>
      <c r="D249" s="5">
        <f>35536-1970-3940-937-1660-686-5850-11500-140-280</f>
        <v>8573</v>
      </c>
    </row>
    <row r="250" spans="1:4" s="3" customFormat="1" x14ac:dyDescent="0.25">
      <c r="A250" s="18" t="s">
        <v>119</v>
      </c>
      <c r="B250" s="13" t="s">
        <v>257</v>
      </c>
      <c r="C250" s="10" t="s">
        <v>184</v>
      </c>
      <c r="D250" s="5">
        <f>6930-113-40-72-55-315</f>
        <v>6335</v>
      </c>
    </row>
    <row r="251" spans="1:4" s="3" customFormat="1" x14ac:dyDescent="0.25">
      <c r="A251" s="18" t="s">
        <v>119</v>
      </c>
      <c r="B251" s="13" t="s">
        <v>257</v>
      </c>
      <c r="C251" s="10" t="s">
        <v>185</v>
      </c>
      <c r="D251" s="5">
        <f>6594+6594-4788-116</f>
        <v>8284</v>
      </c>
    </row>
    <row r="252" spans="1:4" x14ac:dyDescent="0.25">
      <c r="A252" s="18" t="s">
        <v>119</v>
      </c>
      <c r="B252" s="8" t="s">
        <v>257</v>
      </c>
      <c r="C252" s="4" t="s">
        <v>139</v>
      </c>
      <c r="D252" s="5">
        <f>16268-20-990-162-120-640-7660-3200</f>
        <v>3476</v>
      </c>
    </row>
    <row r="253" spans="1:4" x14ac:dyDescent="0.25">
      <c r="A253" s="18" t="s">
        <v>119</v>
      </c>
      <c r="B253" s="8" t="s">
        <v>223</v>
      </c>
      <c r="C253" s="4" t="s">
        <v>75</v>
      </c>
      <c r="D253" s="5">
        <f>3394-697-62-458-354</f>
        <v>1823</v>
      </c>
    </row>
    <row r="254" spans="1:4" s="3" customFormat="1" x14ac:dyDescent="0.25">
      <c r="A254" s="18" t="s">
        <v>119</v>
      </c>
      <c r="B254" s="8" t="s">
        <v>257</v>
      </c>
      <c r="C254" s="10" t="s">
        <v>217</v>
      </c>
      <c r="D254" s="5">
        <f>17350-2800</f>
        <v>14550</v>
      </c>
    </row>
    <row r="255" spans="1:4" s="3" customFormat="1" x14ac:dyDescent="0.25">
      <c r="A255" s="18" t="s">
        <v>119</v>
      </c>
      <c r="B255" s="8" t="s">
        <v>257</v>
      </c>
      <c r="C255" s="10" t="s">
        <v>187</v>
      </c>
      <c r="D255" s="5">
        <f>10690-1420-350-4890</f>
        <v>4030</v>
      </c>
    </row>
    <row r="256" spans="1:4" s="3" customFormat="1" x14ac:dyDescent="0.25">
      <c r="A256" s="18" t="s">
        <v>119</v>
      </c>
      <c r="B256" s="13" t="s">
        <v>257</v>
      </c>
      <c r="C256" s="4" t="s">
        <v>352</v>
      </c>
      <c r="D256" s="5">
        <f>20348-6040-410-6420-670-380-5400</f>
        <v>1028</v>
      </c>
    </row>
    <row r="257" spans="1:4" s="3" customFormat="1" x14ac:dyDescent="0.25">
      <c r="A257" s="18" t="s">
        <v>119</v>
      </c>
      <c r="B257" s="13" t="s">
        <v>257</v>
      </c>
      <c r="C257" s="4" t="s">
        <v>360</v>
      </c>
      <c r="D257" s="5">
        <f>10320-212</f>
        <v>10108</v>
      </c>
    </row>
    <row r="258" spans="1:4" s="3" customFormat="1" x14ac:dyDescent="0.25">
      <c r="A258" s="18" t="s">
        <v>119</v>
      </c>
      <c r="B258" s="13" t="s">
        <v>257</v>
      </c>
      <c r="C258" s="4" t="s">
        <v>214</v>
      </c>
      <c r="D258" s="5">
        <f>4310-860-431-431-715-122-310-50-535-200</f>
        <v>656</v>
      </c>
    </row>
    <row r="259" spans="1:4" s="3" customFormat="1" x14ac:dyDescent="0.25">
      <c r="A259" s="18" t="s">
        <v>119</v>
      </c>
      <c r="B259" s="13" t="s">
        <v>223</v>
      </c>
      <c r="C259" s="4" t="s">
        <v>334</v>
      </c>
      <c r="D259" s="5">
        <f>12380-6230-1433-2488-940-500</f>
        <v>789</v>
      </c>
    </row>
    <row r="260" spans="1:4" s="3" customFormat="1" x14ac:dyDescent="0.25">
      <c r="A260" s="18" t="s">
        <v>119</v>
      </c>
      <c r="B260" s="8" t="s">
        <v>223</v>
      </c>
      <c r="C260" s="4" t="s">
        <v>142</v>
      </c>
      <c r="D260" s="5">
        <v>1090</v>
      </c>
    </row>
    <row r="261" spans="1:4" x14ac:dyDescent="0.25">
      <c r="A261" s="18" t="s">
        <v>119</v>
      </c>
      <c r="B261" s="8" t="s">
        <v>223</v>
      </c>
      <c r="C261" s="4" t="s">
        <v>109</v>
      </c>
      <c r="D261" s="5">
        <v>800</v>
      </c>
    </row>
    <row r="262" spans="1:4" s="3" customFormat="1" x14ac:dyDescent="0.25">
      <c r="A262" s="18" t="s">
        <v>119</v>
      </c>
      <c r="B262" s="13" t="s">
        <v>258</v>
      </c>
      <c r="C262" s="4" t="s">
        <v>146</v>
      </c>
      <c r="D262" s="5">
        <f>1584-280-5-950</f>
        <v>349</v>
      </c>
    </row>
    <row r="263" spans="1:4" s="3" customFormat="1" x14ac:dyDescent="0.25">
      <c r="A263" s="18" t="s">
        <v>119</v>
      </c>
      <c r="B263" s="13" t="s">
        <v>258</v>
      </c>
      <c r="C263" s="4" t="s">
        <v>335</v>
      </c>
      <c r="D263" s="5">
        <f>5920-5510-61-110-236</f>
        <v>3</v>
      </c>
    </row>
    <row r="264" spans="1:4" s="16" customFormat="1" x14ac:dyDescent="0.25">
      <c r="A264" s="18" t="s">
        <v>119</v>
      </c>
      <c r="B264" s="13" t="s">
        <v>258</v>
      </c>
      <c r="C264" s="4" t="s">
        <v>342</v>
      </c>
      <c r="D264" s="5">
        <f>2515-116-86-12-11-340-580-116-81-48-127-55-47-11-480-42</f>
        <v>363</v>
      </c>
    </row>
    <row r="265" spans="1:4" s="16" customFormat="1" x14ac:dyDescent="0.25">
      <c r="A265" s="18" t="s">
        <v>119</v>
      </c>
      <c r="B265" s="13" t="s">
        <v>258</v>
      </c>
      <c r="C265" s="4" t="s">
        <v>321</v>
      </c>
      <c r="D265" s="5">
        <f>880-320-151-100-82-11-49</f>
        <v>167</v>
      </c>
    </row>
    <row r="266" spans="1:4" s="3" customFormat="1" x14ac:dyDescent="0.25">
      <c r="A266" s="18" t="s">
        <v>119</v>
      </c>
      <c r="B266" s="13" t="s">
        <v>258</v>
      </c>
      <c r="C266" s="12" t="s">
        <v>306</v>
      </c>
      <c r="D266" s="5">
        <f>1657-105-260-31-32-75-180-460</f>
        <v>514</v>
      </c>
    </row>
    <row r="267" spans="1:4" s="3" customFormat="1" x14ac:dyDescent="0.25">
      <c r="A267" s="18" t="s">
        <v>119</v>
      </c>
      <c r="B267" s="13" t="s">
        <v>258</v>
      </c>
      <c r="C267" s="10" t="s">
        <v>185</v>
      </c>
      <c r="D267" s="5">
        <f>9461-525-615-403-103-580-509-3-12-4950-14</f>
        <v>1747</v>
      </c>
    </row>
    <row r="268" spans="1:4" s="3" customFormat="1" x14ac:dyDescent="0.25">
      <c r="A268" s="18" t="s">
        <v>119</v>
      </c>
      <c r="B268" s="13" t="s">
        <v>258</v>
      </c>
      <c r="C268" s="10" t="s">
        <v>186</v>
      </c>
      <c r="D268" s="5">
        <f>270-24</f>
        <v>246</v>
      </c>
    </row>
    <row r="269" spans="1:4" x14ac:dyDescent="0.25">
      <c r="A269" s="18" t="s">
        <v>119</v>
      </c>
      <c r="B269" s="8" t="s">
        <v>254</v>
      </c>
      <c r="C269" s="4" t="s">
        <v>75</v>
      </c>
      <c r="D269" s="5">
        <v>773</v>
      </c>
    </row>
    <row r="270" spans="1:4" s="3" customFormat="1" x14ac:dyDescent="0.25">
      <c r="A270" s="18" t="s">
        <v>119</v>
      </c>
      <c r="B270" s="13" t="s">
        <v>258</v>
      </c>
      <c r="C270" s="10" t="s">
        <v>187</v>
      </c>
      <c r="D270" s="5">
        <f>740-163-55-239</f>
        <v>283</v>
      </c>
    </row>
    <row r="271" spans="1:4" s="3" customFormat="1" x14ac:dyDescent="0.25">
      <c r="A271" s="18" t="s">
        <v>119</v>
      </c>
      <c r="B271" s="13" t="s">
        <v>258</v>
      </c>
      <c r="C271" s="10" t="s">
        <v>188</v>
      </c>
      <c r="D271" s="5">
        <f>7960-3910-276-2050-338-11-40-500</f>
        <v>835</v>
      </c>
    </row>
    <row r="272" spans="1:4" s="3" customFormat="1" x14ac:dyDescent="0.25">
      <c r="A272" s="18" t="s">
        <v>119</v>
      </c>
      <c r="B272" s="13" t="s">
        <v>258</v>
      </c>
      <c r="C272" s="10" t="s">
        <v>207</v>
      </c>
      <c r="D272" s="5">
        <f>4890-1780</f>
        <v>3110</v>
      </c>
    </row>
    <row r="273" spans="1:4" s="3" customFormat="1" x14ac:dyDescent="0.25">
      <c r="A273" s="18" t="s">
        <v>119</v>
      </c>
      <c r="B273" s="8" t="s">
        <v>224</v>
      </c>
      <c r="C273" s="4" t="s">
        <v>76</v>
      </c>
      <c r="D273" s="5">
        <f>2292-126</f>
        <v>2166</v>
      </c>
    </row>
    <row r="274" spans="1:4" s="3" customFormat="1" x14ac:dyDescent="0.25">
      <c r="A274" s="18" t="s">
        <v>119</v>
      </c>
      <c r="B274" s="13" t="s">
        <v>261</v>
      </c>
      <c r="C274" s="4" t="s">
        <v>146</v>
      </c>
      <c r="D274" s="5">
        <f>565-10-170-34-24-3</f>
        <v>324</v>
      </c>
    </row>
    <row r="275" spans="1:4" s="3" customFormat="1" x14ac:dyDescent="0.25">
      <c r="A275" s="18" t="s">
        <v>119</v>
      </c>
      <c r="B275" s="13" t="s">
        <v>261</v>
      </c>
      <c r="C275" s="4" t="s">
        <v>313</v>
      </c>
      <c r="D275" s="5">
        <f>4524-3390-12-114-270-95</f>
        <v>643</v>
      </c>
    </row>
    <row r="276" spans="1:4" s="3" customFormat="1" x14ac:dyDescent="0.25">
      <c r="A276" s="18" t="s">
        <v>119</v>
      </c>
      <c r="B276" s="13" t="s">
        <v>261</v>
      </c>
      <c r="C276" s="10" t="s">
        <v>347</v>
      </c>
      <c r="D276" s="5">
        <v>2565</v>
      </c>
    </row>
    <row r="277" spans="1:4" s="16" customFormat="1" x14ac:dyDescent="0.25">
      <c r="A277" s="18" t="s">
        <v>119</v>
      </c>
      <c r="B277" s="13" t="s">
        <v>261</v>
      </c>
      <c r="C277" s="4" t="s">
        <v>56</v>
      </c>
      <c r="D277" s="5">
        <f>1344-350-260</f>
        <v>734</v>
      </c>
    </row>
    <row r="278" spans="1:4" s="16" customFormat="1" x14ac:dyDescent="0.25">
      <c r="A278" s="18" t="s">
        <v>119</v>
      </c>
      <c r="B278" s="13" t="s">
        <v>261</v>
      </c>
      <c r="C278" s="4" t="s">
        <v>342</v>
      </c>
      <c r="D278" s="5">
        <f>2515-970-336-68-136-140-43-230-150-80-80</f>
        <v>282</v>
      </c>
    </row>
    <row r="279" spans="1:4" s="3" customFormat="1" x14ac:dyDescent="0.25">
      <c r="A279" s="18" t="s">
        <v>119</v>
      </c>
      <c r="B279" s="13" t="s">
        <v>261</v>
      </c>
      <c r="C279" s="4" t="s">
        <v>325</v>
      </c>
      <c r="D279" s="5">
        <f>9420-2370-2370-22-243-2340-327-85-37-386-188-2-5-302-190-182-14-316</f>
        <v>41</v>
      </c>
    </row>
    <row r="280" spans="1:4" s="3" customFormat="1" x14ac:dyDescent="0.25">
      <c r="A280" s="18" t="s">
        <v>119</v>
      </c>
      <c r="B280" s="13" t="s">
        <v>261</v>
      </c>
      <c r="C280" s="4" t="s">
        <v>330</v>
      </c>
      <c r="D280" s="5">
        <f>808-120-92-224</f>
        <v>372</v>
      </c>
    </row>
    <row r="281" spans="1:4" x14ac:dyDescent="0.25">
      <c r="A281" s="18" t="s">
        <v>119</v>
      </c>
      <c r="B281" s="13" t="s">
        <v>261</v>
      </c>
      <c r="C281" s="4" t="s">
        <v>321</v>
      </c>
      <c r="D281" s="5">
        <f>2865-74-610-64</f>
        <v>2117</v>
      </c>
    </row>
    <row r="282" spans="1:4" x14ac:dyDescent="0.25">
      <c r="A282" s="18" t="s">
        <v>119</v>
      </c>
      <c r="B282" s="13" t="s">
        <v>261</v>
      </c>
      <c r="C282" s="4" t="s">
        <v>156</v>
      </c>
      <c r="D282" s="5">
        <f>900-15-175-65-132-392-57-42</f>
        <v>22</v>
      </c>
    </row>
    <row r="283" spans="1:4" s="16" customFormat="1" x14ac:dyDescent="0.25">
      <c r="A283" s="18" t="s">
        <v>119</v>
      </c>
      <c r="B283" s="13" t="s">
        <v>261</v>
      </c>
      <c r="C283" s="4" t="s">
        <v>344</v>
      </c>
      <c r="D283" s="5">
        <f>3935-82-369-66-210-40-136-136</f>
        <v>2896</v>
      </c>
    </row>
    <row r="284" spans="1:4" s="3" customFormat="1" x14ac:dyDescent="0.25">
      <c r="A284" s="18" t="s">
        <v>119</v>
      </c>
      <c r="B284" s="13" t="s">
        <v>261</v>
      </c>
      <c r="C284" s="4" t="s">
        <v>329</v>
      </c>
      <c r="D284" s="5">
        <f>2630-680-132-443-40-38-260-350-35-66-6-282</f>
        <v>298</v>
      </c>
    </row>
    <row r="285" spans="1:4" s="16" customFormat="1" x14ac:dyDescent="0.25">
      <c r="A285" s="18" t="s">
        <v>119</v>
      </c>
      <c r="B285" s="13" t="s">
        <v>261</v>
      </c>
      <c r="C285" s="4" t="s">
        <v>354</v>
      </c>
      <c r="D285" s="5">
        <f>4800-457-422-15-203-1100-138</f>
        <v>2465</v>
      </c>
    </row>
    <row r="286" spans="1:4" s="3" customFormat="1" x14ac:dyDescent="0.25">
      <c r="A286" s="18" t="s">
        <v>119</v>
      </c>
      <c r="B286" s="13" t="s">
        <v>261</v>
      </c>
      <c r="C286" s="4" t="s">
        <v>157</v>
      </c>
      <c r="D286" s="5">
        <f>9473-870-308-5880-258-78-80-500-610</f>
        <v>889</v>
      </c>
    </row>
    <row r="287" spans="1:4" s="3" customFormat="1" x14ac:dyDescent="0.25">
      <c r="A287" s="18" t="s">
        <v>119</v>
      </c>
      <c r="B287" s="8" t="s">
        <v>224</v>
      </c>
      <c r="C287" s="4" t="s">
        <v>145</v>
      </c>
      <c r="D287" s="5">
        <f>14417-175-175-180-1200</f>
        <v>12687</v>
      </c>
    </row>
    <row r="288" spans="1:4" s="3" customFormat="1" x14ac:dyDescent="0.25">
      <c r="A288" s="18" t="s">
        <v>119</v>
      </c>
      <c r="B288" s="13" t="s">
        <v>261</v>
      </c>
      <c r="C288" s="10" t="s">
        <v>174</v>
      </c>
      <c r="D288" s="5">
        <f>9890-518-240-520-89-153-270-235-370-310-6800-232</f>
        <v>153</v>
      </c>
    </row>
    <row r="289" spans="1:4" s="3" customFormat="1" x14ac:dyDescent="0.25">
      <c r="A289" s="18" t="s">
        <v>119</v>
      </c>
      <c r="B289" s="13" t="s">
        <v>261</v>
      </c>
      <c r="C289" s="10" t="s">
        <v>331</v>
      </c>
      <c r="D289" s="5">
        <f>4970-64-16-66</f>
        <v>4824</v>
      </c>
    </row>
    <row r="290" spans="1:4" s="3" customFormat="1" x14ac:dyDescent="0.25">
      <c r="A290" s="18" t="s">
        <v>119</v>
      </c>
      <c r="B290" s="13" t="s">
        <v>261</v>
      </c>
      <c r="C290" s="10" t="s">
        <v>139</v>
      </c>
      <c r="D290" s="5">
        <f>22084-7640-1265-1170-146-1265-98-72-260-148-5110</f>
        <v>4910</v>
      </c>
    </row>
    <row r="291" spans="1:4" s="3" customFormat="1" x14ac:dyDescent="0.25">
      <c r="A291" s="18" t="s">
        <v>119</v>
      </c>
      <c r="B291" s="13" t="s">
        <v>261</v>
      </c>
      <c r="C291" s="10" t="s">
        <v>217</v>
      </c>
      <c r="D291" s="5">
        <f>7722-125-345-230-495</f>
        <v>6527</v>
      </c>
    </row>
    <row r="292" spans="1:4" s="3" customFormat="1" x14ac:dyDescent="0.25">
      <c r="A292" s="18" t="s">
        <v>119</v>
      </c>
      <c r="B292" s="13" t="s">
        <v>261</v>
      </c>
      <c r="C292" s="10" t="s">
        <v>336</v>
      </c>
      <c r="D292" s="5">
        <f>2582-239-230</f>
        <v>2113</v>
      </c>
    </row>
    <row r="293" spans="1:4" s="3" customFormat="1" x14ac:dyDescent="0.25">
      <c r="A293" s="18" t="s">
        <v>119</v>
      </c>
      <c r="B293" s="13" t="s">
        <v>261</v>
      </c>
      <c r="C293" s="10" t="s">
        <v>339</v>
      </c>
      <c r="D293" s="5">
        <f>4688-215-3200</f>
        <v>1273</v>
      </c>
    </row>
    <row r="294" spans="1:4" s="3" customFormat="1" x14ac:dyDescent="0.25">
      <c r="A294" s="18" t="s">
        <v>119</v>
      </c>
      <c r="B294" s="13" t="s">
        <v>261</v>
      </c>
      <c r="C294" s="4" t="s">
        <v>169</v>
      </c>
      <c r="D294" s="5">
        <f>530-142-350</f>
        <v>38</v>
      </c>
    </row>
    <row r="295" spans="1:4" s="3" customFormat="1" x14ac:dyDescent="0.25">
      <c r="A295" s="18" t="s">
        <v>119</v>
      </c>
      <c r="B295" s="13" t="s">
        <v>261</v>
      </c>
      <c r="C295" s="10" t="s">
        <v>188</v>
      </c>
      <c r="D295" s="5">
        <f>10575-5300-520-242-350-242-225-350-500</f>
        <v>2846</v>
      </c>
    </row>
    <row r="296" spans="1:4" s="3" customFormat="1" x14ac:dyDescent="0.25">
      <c r="A296" s="18" t="s">
        <v>119</v>
      </c>
      <c r="B296" s="13" t="s">
        <v>261</v>
      </c>
      <c r="C296" s="10" t="s">
        <v>205</v>
      </c>
      <c r="D296" s="5">
        <f>900-210-180</f>
        <v>510</v>
      </c>
    </row>
    <row r="297" spans="1:4" s="3" customFormat="1" x14ac:dyDescent="0.25">
      <c r="A297" s="18" t="s">
        <v>119</v>
      </c>
      <c r="B297" s="13" t="s">
        <v>261</v>
      </c>
      <c r="C297" s="10" t="s">
        <v>345</v>
      </c>
      <c r="D297" s="5">
        <f>10500-28-3810-2480-95-25-3770-180</f>
        <v>112</v>
      </c>
    </row>
    <row r="298" spans="1:4" s="3" customFormat="1" x14ac:dyDescent="0.25">
      <c r="A298" s="18" t="s">
        <v>119</v>
      </c>
      <c r="B298" s="13" t="s">
        <v>261</v>
      </c>
      <c r="C298" s="10" t="s">
        <v>189</v>
      </c>
      <c r="D298" s="5">
        <f>20730-3400-983-2350-1080-1790</f>
        <v>11127</v>
      </c>
    </row>
    <row r="299" spans="1:4" s="3" customFormat="1" x14ac:dyDescent="0.25">
      <c r="A299" s="18" t="s">
        <v>119</v>
      </c>
      <c r="B299" s="13" t="s">
        <v>224</v>
      </c>
      <c r="C299" s="10" t="s">
        <v>338</v>
      </c>
      <c r="D299" s="5">
        <f>9560-3040-295-1200-392-3900-130</f>
        <v>603</v>
      </c>
    </row>
    <row r="300" spans="1:4" s="3" customFormat="1" x14ac:dyDescent="0.25">
      <c r="A300" s="18" t="s">
        <v>119</v>
      </c>
      <c r="B300" s="13" t="s">
        <v>261</v>
      </c>
      <c r="C300" s="10" t="s">
        <v>193</v>
      </c>
      <c r="D300" s="5">
        <f>6537-430-975-585-2100</f>
        <v>2447</v>
      </c>
    </row>
    <row r="301" spans="1:4" s="3" customFormat="1" x14ac:dyDescent="0.25">
      <c r="A301" s="18" t="s">
        <v>119</v>
      </c>
      <c r="B301" s="13" t="s">
        <v>261</v>
      </c>
      <c r="C301" s="10" t="s">
        <v>190</v>
      </c>
      <c r="D301" s="5">
        <f>19020-4810-1100-5200-2830</f>
        <v>5080</v>
      </c>
    </row>
    <row r="302" spans="1:4" s="3" customFormat="1" x14ac:dyDescent="0.25">
      <c r="A302" s="18" t="s">
        <v>119</v>
      </c>
      <c r="B302" s="8" t="s">
        <v>224</v>
      </c>
      <c r="C302" s="4" t="s">
        <v>171</v>
      </c>
      <c r="D302" s="5">
        <f>6262-1410-553-1470-741-845</f>
        <v>1243</v>
      </c>
    </row>
    <row r="303" spans="1:4" s="3" customFormat="1" x14ac:dyDescent="0.25">
      <c r="A303" s="18" t="s">
        <v>119</v>
      </c>
      <c r="B303" s="13" t="s">
        <v>261</v>
      </c>
      <c r="C303" s="10" t="s">
        <v>191</v>
      </c>
      <c r="D303" s="5">
        <f>15830-1457-12850-201-201-693-143</f>
        <v>285</v>
      </c>
    </row>
    <row r="304" spans="1:4" s="3" customFormat="1" x14ac:dyDescent="0.25">
      <c r="A304" s="18" t="s">
        <v>119</v>
      </c>
      <c r="B304" s="13" t="s">
        <v>224</v>
      </c>
      <c r="C304" s="10" t="s">
        <v>213</v>
      </c>
      <c r="D304" s="5">
        <f>4460-1700</f>
        <v>2760</v>
      </c>
    </row>
    <row r="305" spans="1:4" s="3" customFormat="1" x14ac:dyDescent="0.25">
      <c r="A305" s="18" t="s">
        <v>119</v>
      </c>
      <c r="B305" s="13" t="s">
        <v>261</v>
      </c>
      <c r="C305" s="10" t="s">
        <v>192</v>
      </c>
      <c r="D305" s="5">
        <f>2340-158</f>
        <v>2182</v>
      </c>
    </row>
    <row r="306" spans="1:4" s="3" customFormat="1" x14ac:dyDescent="0.25">
      <c r="A306" s="18" t="s">
        <v>119</v>
      </c>
      <c r="B306" s="13" t="s">
        <v>261</v>
      </c>
      <c r="C306" s="10" t="s">
        <v>209</v>
      </c>
      <c r="D306" s="5">
        <f>18080-1660-2510-1660-1280</f>
        <v>10970</v>
      </c>
    </row>
    <row r="307" spans="1:4" s="3" customFormat="1" x14ac:dyDescent="0.25">
      <c r="A307" s="18" t="s">
        <v>119</v>
      </c>
      <c r="B307" s="13" t="s">
        <v>261</v>
      </c>
      <c r="C307" s="10" t="s">
        <v>208</v>
      </c>
      <c r="D307" s="5">
        <v>3350</v>
      </c>
    </row>
    <row r="308" spans="1:4" s="3" customFormat="1" x14ac:dyDescent="0.25">
      <c r="A308" s="18" t="s">
        <v>119</v>
      </c>
      <c r="B308" s="13" t="s">
        <v>224</v>
      </c>
      <c r="C308" s="4" t="s">
        <v>341</v>
      </c>
      <c r="D308" s="5">
        <f>8213-622-311-311-1244-3680</f>
        <v>2045</v>
      </c>
    </row>
    <row r="309" spans="1:4" x14ac:dyDescent="0.25">
      <c r="A309" s="18" t="s">
        <v>119</v>
      </c>
      <c r="B309" s="8" t="s">
        <v>262</v>
      </c>
      <c r="C309" s="4" t="s">
        <v>166</v>
      </c>
      <c r="D309" s="5">
        <v>1267</v>
      </c>
    </row>
    <row r="310" spans="1:4" x14ac:dyDescent="0.25">
      <c r="A310" s="18" t="s">
        <v>119</v>
      </c>
      <c r="B310" s="8" t="s">
        <v>263</v>
      </c>
      <c r="C310" s="4" t="s">
        <v>68</v>
      </c>
      <c r="D310" s="5">
        <f>1070-565</f>
        <v>505</v>
      </c>
    </row>
    <row r="311" spans="1:4" x14ac:dyDescent="0.25">
      <c r="A311" s="18" t="s">
        <v>119</v>
      </c>
      <c r="B311" s="8" t="s">
        <v>263</v>
      </c>
      <c r="C311" s="4" t="s">
        <v>78</v>
      </c>
      <c r="D311" s="5">
        <f>390-24</f>
        <v>366</v>
      </c>
    </row>
    <row r="312" spans="1:4" x14ac:dyDescent="0.25">
      <c r="A312" s="18" t="s">
        <v>119</v>
      </c>
      <c r="B312" s="13" t="s">
        <v>255</v>
      </c>
      <c r="C312" s="4" t="s">
        <v>177</v>
      </c>
      <c r="D312" s="5">
        <f>720-95-16-75-42-36-22-41-22-25</f>
        <v>346</v>
      </c>
    </row>
    <row r="313" spans="1:4" x14ac:dyDescent="0.25">
      <c r="A313" s="18" t="s">
        <v>119</v>
      </c>
      <c r="B313" s="13" t="s">
        <v>255</v>
      </c>
      <c r="C313" s="4" t="s">
        <v>127</v>
      </c>
      <c r="D313" s="5">
        <f>2510-140-38-91-10-165-25-26-57-76-75-160-113-88-62-108-62-95-30-60-370-162-170-30</f>
        <v>297</v>
      </c>
    </row>
    <row r="314" spans="1:4" s="3" customFormat="1" x14ac:dyDescent="0.25">
      <c r="A314" s="19" t="s">
        <v>119</v>
      </c>
      <c r="B314" s="13" t="s">
        <v>255</v>
      </c>
      <c r="C314" s="27" t="s">
        <v>156</v>
      </c>
      <c r="D314" s="5">
        <f>1340-106-119-9-190-250-58</f>
        <v>608</v>
      </c>
    </row>
    <row r="315" spans="1:4" x14ac:dyDescent="0.25">
      <c r="A315" s="18" t="s">
        <v>119</v>
      </c>
      <c r="B315" s="13" t="s">
        <v>255</v>
      </c>
      <c r="C315" s="4" t="s">
        <v>344</v>
      </c>
      <c r="D315" s="5">
        <f>960-747-12-43</f>
        <v>158</v>
      </c>
    </row>
    <row r="316" spans="1:4" s="16" customFormat="1" x14ac:dyDescent="0.25">
      <c r="A316" s="18" t="s">
        <v>119</v>
      </c>
      <c r="B316" s="13" t="s">
        <v>255</v>
      </c>
      <c r="C316" s="4" t="s">
        <v>129</v>
      </c>
      <c r="D316" s="5">
        <f>5800-115</f>
        <v>5685</v>
      </c>
    </row>
    <row r="317" spans="1:4" x14ac:dyDescent="0.25">
      <c r="A317" s="18" t="s">
        <v>119</v>
      </c>
      <c r="B317" s="13" t="s">
        <v>255</v>
      </c>
      <c r="C317" s="4" t="s">
        <v>316</v>
      </c>
      <c r="D317" s="5">
        <f>1423-175-258-470-55-32-72-220</f>
        <v>141</v>
      </c>
    </row>
    <row r="318" spans="1:4" s="16" customFormat="1" x14ac:dyDescent="0.25">
      <c r="A318" s="18" t="s">
        <v>119</v>
      </c>
      <c r="B318" s="13" t="s">
        <v>255</v>
      </c>
      <c r="C318" s="4" t="s">
        <v>316</v>
      </c>
      <c r="D318" s="5">
        <f>4550-145</f>
        <v>4405</v>
      </c>
    </row>
    <row r="319" spans="1:4" x14ac:dyDescent="0.25">
      <c r="A319" s="18" t="s">
        <v>119</v>
      </c>
      <c r="B319" s="13" t="s">
        <v>255</v>
      </c>
      <c r="C319" s="4" t="s">
        <v>157</v>
      </c>
      <c r="D319" s="5">
        <f>1650-1073-118-202-36-104-57-21</f>
        <v>39</v>
      </c>
    </row>
    <row r="320" spans="1:4" x14ac:dyDescent="0.25">
      <c r="A320" s="18" t="s">
        <v>119</v>
      </c>
      <c r="B320" s="13" t="s">
        <v>255</v>
      </c>
      <c r="C320" s="4" t="s">
        <v>174</v>
      </c>
      <c r="D320" s="5">
        <f>2085-175-101-101-101-920-12-215-187</f>
        <v>273</v>
      </c>
    </row>
    <row r="321" spans="1:4" x14ac:dyDescent="0.25">
      <c r="A321" s="18" t="s">
        <v>119</v>
      </c>
      <c r="B321" s="13" t="s">
        <v>255</v>
      </c>
      <c r="C321" s="4" t="s">
        <v>317</v>
      </c>
      <c r="D321" s="5">
        <f>1070-55-31-57-78-155-245-53-53-50</f>
        <v>293</v>
      </c>
    </row>
    <row r="322" spans="1:4" x14ac:dyDescent="0.25">
      <c r="A322" s="18" t="s">
        <v>119</v>
      </c>
      <c r="B322" s="13" t="s">
        <v>255</v>
      </c>
      <c r="C322" s="4" t="s">
        <v>139</v>
      </c>
      <c r="D322" s="5">
        <v>626</v>
      </c>
    </row>
    <row r="323" spans="1:4" s="3" customFormat="1" x14ac:dyDescent="0.25">
      <c r="A323" s="18" t="s">
        <v>119</v>
      </c>
      <c r="B323" s="13" t="s">
        <v>255</v>
      </c>
      <c r="C323" s="10" t="s">
        <v>217</v>
      </c>
      <c r="D323" s="5">
        <f>4260-872-680-175-67-72-1320-125-48-72-439-48-172</f>
        <v>170</v>
      </c>
    </row>
    <row r="324" spans="1:4" s="3" customFormat="1" x14ac:dyDescent="0.25">
      <c r="A324" s="39" t="s">
        <v>119</v>
      </c>
      <c r="B324" s="13" t="s">
        <v>255</v>
      </c>
      <c r="C324" s="32" t="s">
        <v>319</v>
      </c>
      <c r="D324" s="53">
        <f>10660-5360-227-279-428-218-415-445-448-236-406-236-26-690-690-13-272</f>
        <v>271</v>
      </c>
    </row>
    <row r="325" spans="1:4" s="3" customFormat="1" x14ac:dyDescent="0.25">
      <c r="A325" s="39" t="s">
        <v>119</v>
      </c>
      <c r="B325" s="13" t="s">
        <v>255</v>
      </c>
      <c r="C325" s="32" t="s">
        <v>150</v>
      </c>
      <c r="D325" s="5">
        <f>2710-192-656-348</f>
        <v>1514</v>
      </c>
    </row>
    <row r="326" spans="1:4" x14ac:dyDescent="0.25">
      <c r="A326" s="18" t="s">
        <v>119</v>
      </c>
      <c r="B326" s="13" t="s">
        <v>255</v>
      </c>
      <c r="C326" s="32" t="s">
        <v>148</v>
      </c>
      <c r="D326" s="5">
        <v>403</v>
      </c>
    </row>
    <row r="327" spans="1:4" x14ac:dyDescent="0.25">
      <c r="A327" s="18" t="s">
        <v>119</v>
      </c>
      <c r="B327" s="13" t="s">
        <v>255</v>
      </c>
      <c r="C327" s="32" t="s">
        <v>183</v>
      </c>
      <c r="D327" s="5">
        <v>1650</v>
      </c>
    </row>
    <row r="328" spans="1:4" x14ac:dyDescent="0.25">
      <c r="A328" s="18" t="s">
        <v>119</v>
      </c>
      <c r="B328" s="13" t="s">
        <v>255</v>
      </c>
      <c r="C328" s="32" t="s">
        <v>196</v>
      </c>
      <c r="D328" s="5">
        <f>22770-656</f>
        <v>22114</v>
      </c>
    </row>
    <row r="329" spans="1:4" s="3" customFormat="1" x14ac:dyDescent="0.25">
      <c r="A329" s="39" t="s">
        <v>119</v>
      </c>
      <c r="B329" s="13" t="s">
        <v>255</v>
      </c>
      <c r="C329" s="32" t="s">
        <v>320</v>
      </c>
      <c r="D329" s="5">
        <f>17680-1389-4470-1778-4410</f>
        <v>5633</v>
      </c>
    </row>
    <row r="330" spans="1:4" s="22" customFormat="1" x14ac:dyDescent="0.25">
      <c r="A330" s="18" t="s">
        <v>119</v>
      </c>
      <c r="B330" s="13" t="s">
        <v>255</v>
      </c>
      <c r="C330" s="32" t="s">
        <v>215</v>
      </c>
      <c r="D330" s="5">
        <v>1490</v>
      </c>
    </row>
    <row r="331" spans="1:4" x14ac:dyDescent="0.25">
      <c r="A331" s="18" t="s">
        <v>119</v>
      </c>
      <c r="B331" s="13" t="s">
        <v>255</v>
      </c>
      <c r="C331" s="32" t="s">
        <v>340</v>
      </c>
      <c r="D331" s="5">
        <v>8960</v>
      </c>
    </row>
    <row r="332" spans="1:4" s="3" customFormat="1" x14ac:dyDescent="0.25">
      <c r="A332" s="39" t="s">
        <v>119</v>
      </c>
      <c r="B332" s="45" t="s">
        <v>274</v>
      </c>
      <c r="C332" s="47" t="s">
        <v>324</v>
      </c>
      <c r="D332" s="5">
        <f>17550-5360</f>
        <v>12190</v>
      </c>
    </row>
    <row r="333" spans="1:4" s="22" customFormat="1" x14ac:dyDescent="0.25">
      <c r="A333" s="18" t="s">
        <v>119</v>
      </c>
      <c r="B333" s="45" t="s">
        <v>274</v>
      </c>
      <c r="C333" s="32" t="s">
        <v>204</v>
      </c>
      <c r="D333" s="5">
        <f>1125-565</f>
        <v>560</v>
      </c>
    </row>
    <row r="334" spans="1:4" s="3" customFormat="1" x14ac:dyDescent="0.25">
      <c r="A334" s="18" t="s">
        <v>119</v>
      </c>
      <c r="B334" s="8" t="s">
        <v>264</v>
      </c>
      <c r="C334" s="32" t="s">
        <v>126</v>
      </c>
      <c r="D334" s="5">
        <v>2050</v>
      </c>
    </row>
    <row r="335" spans="1:4" x14ac:dyDescent="0.25">
      <c r="A335" s="18" t="s">
        <v>119</v>
      </c>
      <c r="B335" s="8" t="s">
        <v>265</v>
      </c>
      <c r="C335" s="32" t="s">
        <v>126</v>
      </c>
      <c r="D335" s="5">
        <v>128</v>
      </c>
    </row>
    <row r="336" spans="1:4" x14ac:dyDescent="0.25">
      <c r="A336" s="18" t="s">
        <v>119</v>
      </c>
      <c r="B336" s="8" t="s">
        <v>249</v>
      </c>
      <c r="C336" s="32" t="s">
        <v>146</v>
      </c>
      <c r="D336" s="5">
        <f>1685-480-520</f>
        <v>685</v>
      </c>
    </row>
    <row r="337" spans="1:4" x14ac:dyDescent="0.25">
      <c r="A337" s="18" t="s">
        <v>119</v>
      </c>
      <c r="B337" s="8" t="s">
        <v>249</v>
      </c>
      <c r="C337" s="32" t="s">
        <v>140</v>
      </c>
      <c r="D337" s="5">
        <f>318-250</f>
        <v>68</v>
      </c>
    </row>
    <row r="338" spans="1:4" x14ac:dyDescent="0.25">
      <c r="A338" s="18" t="s">
        <v>119</v>
      </c>
      <c r="B338" s="8" t="s">
        <v>249</v>
      </c>
      <c r="C338" s="32" t="s">
        <v>128</v>
      </c>
      <c r="D338" s="5">
        <v>1530</v>
      </c>
    </row>
    <row r="339" spans="1:4" x14ac:dyDescent="0.25">
      <c r="A339" s="18" t="s">
        <v>119</v>
      </c>
      <c r="B339" s="8" t="s">
        <v>249</v>
      </c>
      <c r="C339" s="32" t="s">
        <v>177</v>
      </c>
      <c r="D339" s="5">
        <f>1960-440-1150</f>
        <v>370</v>
      </c>
    </row>
    <row r="340" spans="1:4" x14ac:dyDescent="0.25">
      <c r="A340" s="18" t="s">
        <v>119</v>
      </c>
      <c r="B340" s="8" t="s">
        <v>249</v>
      </c>
      <c r="C340" s="32" t="s">
        <v>321</v>
      </c>
      <c r="D340" s="5">
        <v>2880</v>
      </c>
    </row>
    <row r="341" spans="1:4" x14ac:dyDescent="0.25">
      <c r="A341" s="18" t="s">
        <v>119</v>
      </c>
      <c r="B341" s="8" t="s">
        <v>249</v>
      </c>
      <c r="C341" s="32" t="s">
        <v>127</v>
      </c>
      <c r="D341" s="5">
        <v>510</v>
      </c>
    </row>
    <row r="342" spans="1:4" x14ac:dyDescent="0.25">
      <c r="A342" s="18" t="s">
        <v>119</v>
      </c>
      <c r="B342" s="8" t="s">
        <v>249</v>
      </c>
      <c r="C342" s="32" t="s">
        <v>156</v>
      </c>
      <c r="D342" s="5">
        <f>3460-1450</f>
        <v>2010</v>
      </c>
    </row>
    <row r="343" spans="1:4" x14ac:dyDescent="0.25">
      <c r="A343" s="18" t="s">
        <v>119</v>
      </c>
      <c r="B343" s="8" t="s">
        <v>249</v>
      </c>
      <c r="C343" s="32" t="s">
        <v>165</v>
      </c>
      <c r="D343" s="5">
        <v>520</v>
      </c>
    </row>
    <row r="344" spans="1:4" x14ac:dyDescent="0.25">
      <c r="A344" s="18" t="s">
        <v>119</v>
      </c>
      <c r="B344" s="8" t="s">
        <v>249</v>
      </c>
      <c r="C344" s="32" t="s">
        <v>344</v>
      </c>
      <c r="D344" s="5">
        <f>3880-1970</f>
        <v>1910</v>
      </c>
    </row>
    <row r="345" spans="1:4" s="3" customFormat="1" x14ac:dyDescent="0.25">
      <c r="A345" s="18" t="s">
        <v>119</v>
      </c>
      <c r="B345" s="8" t="s">
        <v>249</v>
      </c>
      <c r="C345" s="32" t="s">
        <v>129</v>
      </c>
      <c r="D345" s="5">
        <v>2220</v>
      </c>
    </row>
    <row r="346" spans="1:4" s="3" customFormat="1" x14ac:dyDescent="0.25">
      <c r="A346" s="19" t="s">
        <v>119</v>
      </c>
      <c r="B346" s="8" t="s">
        <v>249</v>
      </c>
      <c r="C346" s="27" t="s">
        <v>141</v>
      </c>
      <c r="D346" s="5">
        <f>2600-180</f>
        <v>2420</v>
      </c>
    </row>
    <row r="347" spans="1:4" x14ac:dyDescent="0.25">
      <c r="A347" s="18" t="s">
        <v>119</v>
      </c>
      <c r="B347" s="8" t="s">
        <v>348</v>
      </c>
      <c r="C347" s="32" t="s">
        <v>349</v>
      </c>
      <c r="D347" s="5">
        <f>940-920</f>
        <v>20</v>
      </c>
    </row>
    <row r="348" spans="1:4" s="3" customFormat="1" x14ac:dyDescent="0.25">
      <c r="A348" s="23" t="s">
        <v>112</v>
      </c>
      <c r="B348" s="8" t="s">
        <v>223</v>
      </c>
      <c r="C348" s="24" t="s">
        <v>178</v>
      </c>
      <c r="D348" s="5">
        <v>411</v>
      </c>
    </row>
    <row r="349" spans="1:4" s="3" customFormat="1" x14ac:dyDescent="0.25">
      <c r="A349" s="23" t="s">
        <v>112</v>
      </c>
      <c r="B349" s="8" t="s">
        <v>223</v>
      </c>
      <c r="C349" s="24" t="s">
        <v>115</v>
      </c>
      <c r="D349" s="5">
        <f>415-25-24-60-16-6-25-11-25</f>
        <v>223</v>
      </c>
    </row>
    <row r="350" spans="1:4" s="3" customFormat="1" x14ac:dyDescent="0.25">
      <c r="A350" s="18" t="s">
        <v>112</v>
      </c>
      <c r="B350" s="8" t="s">
        <v>223</v>
      </c>
      <c r="C350" s="10" t="s">
        <v>170</v>
      </c>
      <c r="D350" s="5">
        <v>1050</v>
      </c>
    </row>
    <row r="351" spans="1:4" s="3" customFormat="1" x14ac:dyDescent="0.25">
      <c r="A351" s="23" t="s">
        <v>112</v>
      </c>
      <c r="B351" s="8" t="s">
        <v>223</v>
      </c>
      <c r="C351" s="14" t="s">
        <v>134</v>
      </c>
      <c r="D351" s="5">
        <v>110</v>
      </c>
    </row>
    <row r="352" spans="1:4" s="3" customFormat="1" x14ac:dyDescent="0.25">
      <c r="A352" s="23" t="s">
        <v>112</v>
      </c>
      <c r="B352" s="8" t="s">
        <v>357</v>
      </c>
      <c r="C352" s="24" t="s">
        <v>358</v>
      </c>
      <c r="D352" s="5">
        <v>2820</v>
      </c>
    </row>
    <row r="353" spans="1:4" s="3" customFormat="1" x14ac:dyDescent="0.25">
      <c r="A353" s="23" t="s">
        <v>112</v>
      </c>
      <c r="B353" s="37" t="s">
        <v>224</v>
      </c>
      <c r="C353" s="4" t="s">
        <v>201</v>
      </c>
      <c r="D353" s="5">
        <v>101</v>
      </c>
    </row>
    <row r="354" spans="1:4" s="3" customFormat="1" x14ac:dyDescent="0.25">
      <c r="A354" s="19" t="s">
        <v>112</v>
      </c>
      <c r="B354" s="37" t="s">
        <v>224</v>
      </c>
      <c r="C354" s="44" t="s">
        <v>160</v>
      </c>
      <c r="D354" s="5">
        <f>886-192-296</f>
        <v>398</v>
      </c>
    </row>
    <row r="355" spans="1:4" s="3" customFormat="1" x14ac:dyDescent="0.25">
      <c r="A355" s="19" t="s">
        <v>112</v>
      </c>
      <c r="B355" s="37" t="s">
        <v>224</v>
      </c>
      <c r="C355" s="44" t="s">
        <v>151</v>
      </c>
      <c r="D355" s="5">
        <f>37-21</f>
        <v>16</v>
      </c>
    </row>
    <row r="356" spans="1:4" s="3" customFormat="1" x14ac:dyDescent="0.25">
      <c r="A356" s="19" t="s">
        <v>112</v>
      </c>
      <c r="B356" s="37" t="s">
        <v>224</v>
      </c>
      <c r="C356" s="44" t="s">
        <v>152</v>
      </c>
      <c r="D356" s="5">
        <f>670-42-56-119-33-83-12</f>
        <v>325</v>
      </c>
    </row>
    <row r="357" spans="1:4" s="3" customFormat="1" x14ac:dyDescent="0.25">
      <c r="A357" s="19" t="s">
        <v>112</v>
      </c>
      <c r="B357" s="37" t="s">
        <v>224</v>
      </c>
      <c r="C357" s="44" t="s">
        <v>337</v>
      </c>
      <c r="D357" s="5">
        <v>422</v>
      </c>
    </row>
    <row r="358" spans="1:4" s="3" customFormat="1" x14ac:dyDescent="0.25">
      <c r="A358" s="19" t="s">
        <v>112</v>
      </c>
      <c r="B358" s="37" t="s">
        <v>224</v>
      </c>
      <c r="C358" s="44" t="s">
        <v>220</v>
      </c>
      <c r="D358" s="5">
        <f>467-290-27</f>
        <v>150</v>
      </c>
    </row>
    <row r="359" spans="1:4" s="3" customFormat="1" x14ac:dyDescent="0.25">
      <c r="A359" s="19" t="s">
        <v>112</v>
      </c>
      <c r="B359" s="37" t="s">
        <v>224</v>
      </c>
      <c r="C359" s="44" t="s">
        <v>153</v>
      </c>
      <c r="D359" s="5">
        <f>934-69</f>
        <v>865</v>
      </c>
    </row>
    <row r="360" spans="1:4" s="3" customFormat="1" x14ac:dyDescent="0.25">
      <c r="A360" s="19" t="s">
        <v>112</v>
      </c>
      <c r="B360" s="37" t="s">
        <v>353</v>
      </c>
      <c r="C360" s="44" t="s">
        <v>170</v>
      </c>
      <c r="D360" s="5">
        <f>9442-352</f>
        <v>9090</v>
      </c>
    </row>
    <row r="361" spans="1:4" s="3" customFormat="1" x14ac:dyDescent="0.25">
      <c r="A361" s="23" t="s">
        <v>112</v>
      </c>
      <c r="B361" s="13" t="s">
        <v>268</v>
      </c>
      <c r="C361" s="10" t="s">
        <v>34</v>
      </c>
      <c r="D361" s="5">
        <v>3200</v>
      </c>
    </row>
    <row r="362" spans="1:4" s="3" customFormat="1" x14ac:dyDescent="0.25">
      <c r="A362" s="23" t="s">
        <v>112</v>
      </c>
      <c r="B362" s="13">
        <v>20</v>
      </c>
      <c r="C362" s="4" t="s">
        <v>200</v>
      </c>
      <c r="D362" s="5">
        <v>28</v>
      </c>
    </row>
    <row r="363" spans="1:4" s="3" customFormat="1" x14ac:dyDescent="0.25">
      <c r="A363" s="23" t="s">
        <v>112</v>
      </c>
      <c r="B363" s="13">
        <v>20</v>
      </c>
      <c r="C363" s="14" t="s">
        <v>135</v>
      </c>
      <c r="D363" s="5">
        <v>88</v>
      </c>
    </row>
    <row r="364" spans="1:4" s="3" customFormat="1" x14ac:dyDescent="0.25">
      <c r="A364" s="20" t="s">
        <v>112</v>
      </c>
      <c r="B364" s="13">
        <v>20</v>
      </c>
      <c r="C364" s="10" t="s">
        <v>83</v>
      </c>
      <c r="D364" s="48">
        <f>4604-15</f>
        <v>4589</v>
      </c>
    </row>
    <row r="365" spans="1:4" s="3" customFormat="1" x14ac:dyDescent="0.25">
      <c r="A365" s="23" t="s">
        <v>112</v>
      </c>
      <c r="B365" s="13">
        <v>20</v>
      </c>
      <c r="C365" s="10" t="s">
        <v>49</v>
      </c>
      <c r="D365" s="5">
        <f>6544-14-125</f>
        <v>6405</v>
      </c>
    </row>
    <row r="366" spans="1:4" s="3" customFormat="1" x14ac:dyDescent="0.25">
      <c r="A366" s="23" t="s">
        <v>112</v>
      </c>
      <c r="B366" s="8">
        <v>20</v>
      </c>
      <c r="C366" s="4" t="s">
        <v>108</v>
      </c>
      <c r="D366" s="5">
        <f>10080-4060-690</f>
        <v>5330</v>
      </c>
    </row>
    <row r="367" spans="1:4" s="3" customFormat="1" x14ac:dyDescent="0.25">
      <c r="A367" s="23" t="s">
        <v>112</v>
      </c>
      <c r="B367" s="13">
        <v>20</v>
      </c>
      <c r="C367" s="10" t="s">
        <v>161</v>
      </c>
      <c r="D367" s="5">
        <v>21645</v>
      </c>
    </row>
    <row r="368" spans="1:4" s="3" customFormat="1" x14ac:dyDescent="0.25">
      <c r="A368" s="23" t="s">
        <v>112</v>
      </c>
      <c r="B368" s="8">
        <v>20</v>
      </c>
      <c r="C368" s="32" t="s">
        <v>89</v>
      </c>
      <c r="D368" s="5">
        <f>1270-167-167-173</f>
        <v>763</v>
      </c>
    </row>
    <row r="369" spans="1:4" s="3" customFormat="1" x14ac:dyDescent="0.25">
      <c r="A369" s="20" t="s">
        <v>112</v>
      </c>
      <c r="B369" s="13" t="s">
        <v>255</v>
      </c>
      <c r="C369" s="4" t="s">
        <v>84</v>
      </c>
      <c r="D369" s="5">
        <f>8910-39-8-128-4-92-16</f>
        <v>8623</v>
      </c>
    </row>
    <row r="370" spans="1:4" s="3" customFormat="1" x14ac:dyDescent="0.25">
      <c r="A370" s="18" t="s">
        <v>112</v>
      </c>
      <c r="B370" s="13" t="s">
        <v>267</v>
      </c>
      <c r="C370" s="10" t="s">
        <v>72</v>
      </c>
      <c r="D370" s="5">
        <f>121-7</f>
        <v>114</v>
      </c>
    </row>
    <row r="371" spans="1:4" s="3" customFormat="1" x14ac:dyDescent="0.25">
      <c r="A371" s="23" t="s">
        <v>112</v>
      </c>
      <c r="B371" s="13" t="s">
        <v>267</v>
      </c>
      <c r="C371" s="14" t="s">
        <v>107</v>
      </c>
      <c r="D371" s="5">
        <f>1450-160</f>
        <v>1290</v>
      </c>
    </row>
    <row r="372" spans="1:4" s="3" customFormat="1" x14ac:dyDescent="0.25">
      <c r="A372" s="20" t="s">
        <v>112</v>
      </c>
      <c r="B372" s="13" t="s">
        <v>255</v>
      </c>
      <c r="C372" s="4" t="s">
        <v>85</v>
      </c>
      <c r="D372" s="5">
        <f>1630-37</f>
        <v>1593</v>
      </c>
    </row>
    <row r="373" spans="1:4" s="3" customFormat="1" x14ac:dyDescent="0.25">
      <c r="A373" s="23" t="s">
        <v>112</v>
      </c>
      <c r="B373" s="13" t="s">
        <v>267</v>
      </c>
      <c r="C373" s="10" t="s">
        <v>50</v>
      </c>
      <c r="D373" s="5">
        <f>3500-176-260-29</f>
        <v>3035</v>
      </c>
    </row>
    <row r="374" spans="1:4" s="3" customFormat="1" x14ac:dyDescent="0.25">
      <c r="A374" s="18" t="s">
        <v>112</v>
      </c>
      <c r="B374" s="13" t="s">
        <v>269</v>
      </c>
      <c r="C374" s="10" t="s">
        <v>65</v>
      </c>
      <c r="D374" s="5">
        <v>16693</v>
      </c>
    </row>
    <row r="375" spans="1:4" s="3" customFormat="1" x14ac:dyDescent="0.25">
      <c r="A375" s="23" t="s">
        <v>112</v>
      </c>
      <c r="B375" s="13">
        <v>20</v>
      </c>
      <c r="C375" s="14" t="s">
        <v>88</v>
      </c>
      <c r="D375" s="5">
        <f>370-180-120-45</f>
        <v>25</v>
      </c>
    </row>
    <row r="376" spans="1:4" s="3" customFormat="1" x14ac:dyDescent="0.25">
      <c r="A376" s="23" t="s">
        <v>112</v>
      </c>
      <c r="B376" s="13">
        <v>20</v>
      </c>
      <c r="C376" s="14" t="s">
        <v>87</v>
      </c>
      <c r="D376" s="5">
        <v>1177</v>
      </c>
    </row>
    <row r="377" spans="1:4" s="3" customFormat="1" x14ac:dyDescent="0.25">
      <c r="A377" s="23" t="s">
        <v>112</v>
      </c>
      <c r="B377" s="13">
        <v>20</v>
      </c>
      <c r="C377" s="14" t="s">
        <v>91</v>
      </c>
      <c r="D377" s="5">
        <v>890</v>
      </c>
    </row>
    <row r="378" spans="1:4" s="3" customFormat="1" x14ac:dyDescent="0.25">
      <c r="A378" s="23" t="s">
        <v>112</v>
      </c>
      <c r="B378" s="13">
        <v>20</v>
      </c>
      <c r="C378" s="14" t="s">
        <v>86</v>
      </c>
      <c r="D378" s="5">
        <f>152-21</f>
        <v>131</v>
      </c>
    </row>
    <row r="379" spans="1:4" s="3" customFormat="1" x14ac:dyDescent="0.25">
      <c r="A379" s="23" t="s">
        <v>112</v>
      </c>
      <c r="B379" s="13" t="s">
        <v>270</v>
      </c>
      <c r="C379" s="14" t="s">
        <v>92</v>
      </c>
      <c r="D379" s="5">
        <v>1220</v>
      </c>
    </row>
    <row r="380" spans="1:4" s="3" customFormat="1" x14ac:dyDescent="0.25">
      <c r="A380" s="23" t="s">
        <v>112</v>
      </c>
      <c r="B380" s="13" t="s">
        <v>270</v>
      </c>
      <c r="C380" s="10" t="s">
        <v>90</v>
      </c>
      <c r="D380" s="5">
        <v>6190</v>
      </c>
    </row>
    <row r="381" spans="1:4" s="3" customFormat="1" x14ac:dyDescent="0.25">
      <c r="A381" s="20" t="s">
        <v>112</v>
      </c>
      <c r="B381" s="13" t="s">
        <v>223</v>
      </c>
      <c r="C381" s="14" t="s">
        <v>123</v>
      </c>
      <c r="D381" s="5">
        <f>1067-54-264</f>
        <v>749</v>
      </c>
    </row>
    <row r="382" spans="1:4" s="22" customFormat="1" x14ac:dyDescent="0.25">
      <c r="A382" s="20" t="s">
        <v>112</v>
      </c>
      <c r="B382" s="13" t="s">
        <v>223</v>
      </c>
      <c r="C382" s="14" t="s">
        <v>124</v>
      </c>
      <c r="D382" s="5">
        <f>1020-62</f>
        <v>958</v>
      </c>
    </row>
    <row r="383" spans="1:4" s="3" customFormat="1" x14ac:dyDescent="0.25">
      <c r="A383" s="20" t="s">
        <v>112</v>
      </c>
      <c r="B383" s="13" t="s">
        <v>223</v>
      </c>
      <c r="C383" s="44" t="s">
        <v>122</v>
      </c>
      <c r="D383" s="5">
        <f>147-31-1</f>
        <v>115</v>
      </c>
    </row>
    <row r="384" spans="1:4" s="3" customFormat="1" x14ac:dyDescent="0.25">
      <c r="A384" s="20" t="s">
        <v>112</v>
      </c>
      <c r="B384" s="13" t="s">
        <v>223</v>
      </c>
      <c r="C384" s="14" t="s">
        <v>125</v>
      </c>
      <c r="D384" s="5">
        <f>72-13-2-4-18</f>
        <v>35</v>
      </c>
    </row>
    <row r="385" spans="1:4" s="3" customFormat="1" x14ac:dyDescent="0.25">
      <c r="A385" s="23" t="s">
        <v>112</v>
      </c>
      <c r="B385" s="8" t="s">
        <v>271</v>
      </c>
      <c r="C385" s="24" t="s">
        <v>106</v>
      </c>
      <c r="D385" s="5">
        <v>2494</v>
      </c>
    </row>
    <row r="386" spans="1:4" s="3" customFormat="1" x14ac:dyDescent="0.25">
      <c r="A386" s="23" t="s">
        <v>112</v>
      </c>
      <c r="B386" s="8">
        <v>20</v>
      </c>
      <c r="C386" s="4" t="s">
        <v>3</v>
      </c>
      <c r="D386" s="5">
        <f>3994-10</f>
        <v>3984</v>
      </c>
    </row>
    <row r="387" spans="1:4" s="3" customFormat="1" x14ac:dyDescent="0.25">
      <c r="A387" s="23" t="s">
        <v>112</v>
      </c>
      <c r="B387" s="8">
        <v>20</v>
      </c>
      <c r="C387" s="4" t="s">
        <v>4</v>
      </c>
      <c r="D387" s="5">
        <v>4389</v>
      </c>
    </row>
    <row r="388" spans="1:4" s="3" customFormat="1" x14ac:dyDescent="0.25">
      <c r="A388" s="23" t="s">
        <v>112</v>
      </c>
      <c r="B388" s="8">
        <v>20</v>
      </c>
      <c r="C388" s="4" t="s">
        <v>318</v>
      </c>
      <c r="D388" s="5">
        <f>7240-38</f>
        <v>7202</v>
      </c>
    </row>
    <row r="389" spans="1:4" s="3" customFormat="1" x14ac:dyDescent="0.25">
      <c r="A389" s="23" t="s">
        <v>112</v>
      </c>
      <c r="B389" s="8">
        <v>45</v>
      </c>
      <c r="C389" s="4" t="s">
        <v>4</v>
      </c>
      <c r="D389" s="5">
        <v>2460</v>
      </c>
    </row>
    <row r="390" spans="1:4" s="3" customFormat="1" x14ac:dyDescent="0.25">
      <c r="A390" s="23" t="s">
        <v>112</v>
      </c>
      <c r="B390" s="8">
        <v>1.4300999999999999</v>
      </c>
      <c r="C390" s="4" t="s">
        <v>202</v>
      </c>
      <c r="D390" s="5">
        <v>326</v>
      </c>
    </row>
    <row r="391" spans="1:4" s="3" customFormat="1" x14ac:dyDescent="0.25">
      <c r="A391" s="18" t="s">
        <v>110</v>
      </c>
      <c r="B391" s="8" t="s">
        <v>223</v>
      </c>
      <c r="C391" s="4" t="s">
        <v>198</v>
      </c>
      <c r="D391" s="5">
        <v>3</v>
      </c>
    </row>
    <row r="392" spans="1:4" s="3" customFormat="1" x14ac:dyDescent="0.25">
      <c r="A392" s="18" t="s">
        <v>110</v>
      </c>
      <c r="B392" s="13" t="s">
        <v>223</v>
      </c>
      <c r="C392" s="10" t="s">
        <v>315</v>
      </c>
      <c r="D392" s="5">
        <f>55-6-8-9</f>
        <v>32</v>
      </c>
    </row>
    <row r="393" spans="1:4" s="3" customFormat="1" x14ac:dyDescent="0.25">
      <c r="A393" s="18" t="s">
        <v>110</v>
      </c>
      <c r="B393" s="13" t="s">
        <v>223</v>
      </c>
      <c r="C393" s="10" t="s">
        <v>73</v>
      </c>
      <c r="D393" s="5">
        <f>4760-221-172-172-216-20</f>
        <v>3959</v>
      </c>
    </row>
    <row r="394" spans="1:4" x14ac:dyDescent="0.25">
      <c r="A394" s="18" t="s">
        <v>110</v>
      </c>
      <c r="B394" s="8" t="s">
        <v>260</v>
      </c>
      <c r="C394" s="4" t="s">
        <v>212</v>
      </c>
      <c r="D394" s="5">
        <f>5080-520-520-1040-1060</f>
        <v>1940</v>
      </c>
    </row>
    <row r="395" spans="1:4" s="3" customFormat="1" x14ac:dyDescent="0.25">
      <c r="A395" s="19" t="s">
        <v>110</v>
      </c>
      <c r="B395" s="13" t="s">
        <v>274</v>
      </c>
      <c r="C395" s="10" t="s">
        <v>81</v>
      </c>
      <c r="D395" s="5">
        <f>13683-8-3-6</f>
        <v>13666</v>
      </c>
    </row>
    <row r="396" spans="1:4" s="3" customFormat="1" x14ac:dyDescent="0.25">
      <c r="A396" s="19" t="s">
        <v>110</v>
      </c>
      <c r="B396" s="13" t="s">
        <v>272</v>
      </c>
      <c r="C396" s="7" t="s">
        <v>42</v>
      </c>
      <c r="D396" s="5">
        <v>370</v>
      </c>
    </row>
    <row r="397" spans="1:4" s="3" customFormat="1" x14ac:dyDescent="0.25">
      <c r="A397" s="18" t="s">
        <v>110</v>
      </c>
      <c r="B397" s="13" t="s">
        <v>273</v>
      </c>
      <c r="C397" s="7" t="s">
        <v>51</v>
      </c>
      <c r="D397" s="5">
        <v>1517</v>
      </c>
    </row>
    <row r="398" spans="1:4" s="3" customFormat="1" x14ac:dyDescent="0.25">
      <c r="A398" s="19" t="s">
        <v>110</v>
      </c>
      <c r="B398" s="51">
        <v>1.208</v>
      </c>
      <c r="C398" s="10" t="s">
        <v>162</v>
      </c>
      <c r="D398" s="5">
        <v>504</v>
      </c>
    </row>
    <row r="399" spans="1:4" s="3" customFormat="1" x14ac:dyDescent="0.25">
      <c r="A399" s="19" t="s">
        <v>110</v>
      </c>
      <c r="B399" s="51">
        <v>1.208</v>
      </c>
      <c r="C399" s="10" t="s">
        <v>136</v>
      </c>
      <c r="D399" s="5">
        <f>1350-60-104</f>
        <v>1186</v>
      </c>
    </row>
    <row r="400" spans="1:4" s="3" customFormat="1" x14ac:dyDescent="0.25">
      <c r="A400" s="23" t="s">
        <v>110</v>
      </c>
      <c r="B400" s="51">
        <v>1.208</v>
      </c>
      <c r="C400" s="24" t="s">
        <v>158</v>
      </c>
      <c r="D400" s="5">
        <f>64-18</f>
        <v>46</v>
      </c>
    </row>
    <row r="401" spans="1:4" s="3" customFormat="1" x14ac:dyDescent="0.25">
      <c r="A401" s="23" t="s">
        <v>110</v>
      </c>
      <c r="B401" s="51">
        <v>1.208</v>
      </c>
      <c r="C401" s="24" t="s">
        <v>310</v>
      </c>
      <c r="D401" s="5">
        <f>1030-11-460-390-11-24-18-100</f>
        <v>16</v>
      </c>
    </row>
    <row r="402" spans="1:4" s="3" customFormat="1" x14ac:dyDescent="0.25">
      <c r="A402" s="23" t="s">
        <v>110</v>
      </c>
      <c r="B402" s="51">
        <v>1.208</v>
      </c>
      <c r="C402" s="24" t="s">
        <v>194</v>
      </c>
      <c r="D402" s="5">
        <v>323</v>
      </c>
    </row>
    <row r="403" spans="1:4" s="3" customFormat="1" x14ac:dyDescent="0.25">
      <c r="A403" s="23" t="s">
        <v>110</v>
      </c>
      <c r="B403" s="51">
        <v>1.208</v>
      </c>
      <c r="C403" s="24" t="s">
        <v>309</v>
      </c>
      <c r="D403" s="5">
        <f>2737-630-1000-1030</f>
        <v>77</v>
      </c>
    </row>
    <row r="404" spans="1:4" s="3" customFormat="1" x14ac:dyDescent="0.25">
      <c r="A404" s="19" t="s">
        <v>110</v>
      </c>
      <c r="B404" s="8">
        <v>1.4300999999999999</v>
      </c>
      <c r="C404" s="7" t="s">
        <v>62</v>
      </c>
      <c r="D404" s="5">
        <v>207</v>
      </c>
    </row>
    <row r="405" spans="1:4" s="3" customFormat="1" x14ac:dyDescent="0.25">
      <c r="A405" s="19" t="s">
        <v>110</v>
      </c>
      <c r="B405" s="8">
        <v>1.4300999999999999</v>
      </c>
      <c r="C405" s="7" t="s">
        <v>57</v>
      </c>
      <c r="D405" s="5">
        <f>739-15</f>
        <v>724</v>
      </c>
    </row>
    <row r="406" spans="1:4" s="3" customFormat="1" x14ac:dyDescent="0.25">
      <c r="A406" s="19" t="s">
        <v>110</v>
      </c>
      <c r="B406" s="8">
        <v>1.4300999999999999</v>
      </c>
      <c r="C406" s="7" t="s">
        <v>61</v>
      </c>
      <c r="D406" s="5">
        <v>503</v>
      </c>
    </row>
    <row r="407" spans="1:4" s="3" customFormat="1" x14ac:dyDescent="0.25">
      <c r="A407" s="19" t="s">
        <v>133</v>
      </c>
      <c r="B407" s="13" t="s">
        <v>224</v>
      </c>
      <c r="C407" s="10" t="s">
        <v>199</v>
      </c>
      <c r="D407" s="5">
        <v>129</v>
      </c>
    </row>
    <row r="408" spans="1:4" s="3" customFormat="1" x14ac:dyDescent="0.25">
      <c r="A408" s="18" t="s">
        <v>133</v>
      </c>
      <c r="B408" s="8" t="s">
        <v>266</v>
      </c>
      <c r="C408" s="27" t="s">
        <v>175</v>
      </c>
      <c r="D408" s="5">
        <v>1720</v>
      </c>
    </row>
    <row r="409" spans="1:4" s="3" customFormat="1" x14ac:dyDescent="0.25">
      <c r="A409" s="18" t="s">
        <v>133</v>
      </c>
      <c r="B409" s="8" t="s">
        <v>266</v>
      </c>
      <c r="C409" s="27" t="s">
        <v>176</v>
      </c>
      <c r="D409" s="5">
        <f>3116-31</f>
        <v>3085</v>
      </c>
    </row>
    <row r="410" spans="1:4" s="3" customFormat="1" x14ac:dyDescent="0.25">
      <c r="A410" s="18" t="s">
        <v>133</v>
      </c>
      <c r="B410" s="8" t="s">
        <v>223</v>
      </c>
      <c r="C410" s="4" t="s">
        <v>303</v>
      </c>
      <c r="D410" s="5">
        <f>7240-17</f>
        <v>7223</v>
      </c>
    </row>
    <row r="411" spans="1:4" s="3" customFormat="1" x14ac:dyDescent="0.25">
      <c r="A411" s="19" t="s">
        <v>179</v>
      </c>
      <c r="B411" s="13" t="s">
        <v>223</v>
      </c>
      <c r="C411" s="10" t="s">
        <v>180</v>
      </c>
      <c r="D411" s="5">
        <f>4888+670-1624-25-105-120-112-730-76-30-20</f>
        <v>2716</v>
      </c>
    </row>
    <row r="412" spans="1:4" s="3" customFormat="1" x14ac:dyDescent="0.25">
      <c r="A412" s="19" t="s">
        <v>179</v>
      </c>
      <c r="B412" s="13" t="s">
        <v>223</v>
      </c>
      <c r="C412" s="10" t="s">
        <v>327</v>
      </c>
      <c r="D412" s="5">
        <v>140</v>
      </c>
    </row>
    <row r="413" spans="1:4" s="3" customFormat="1" x14ac:dyDescent="0.25">
      <c r="A413" s="19" t="s">
        <v>179</v>
      </c>
      <c r="B413" s="13" t="s">
        <v>259</v>
      </c>
      <c r="C413" s="10" t="s">
        <v>326</v>
      </c>
      <c r="D413" s="5">
        <f>100-58-13-19</f>
        <v>10</v>
      </c>
    </row>
    <row r="414" spans="1:4" s="3" customFormat="1" x14ac:dyDescent="0.25">
      <c r="A414" s="19" t="s">
        <v>179</v>
      </c>
      <c r="B414" s="13" t="s">
        <v>259</v>
      </c>
      <c r="C414" s="10" t="s">
        <v>216</v>
      </c>
      <c r="D414" s="5">
        <v>68</v>
      </c>
    </row>
    <row r="415" spans="1:4" s="3" customFormat="1" x14ac:dyDescent="0.25">
      <c r="A415" s="18" t="s">
        <v>133</v>
      </c>
      <c r="B415" s="8" t="s">
        <v>249</v>
      </c>
      <c r="C415" s="32" t="s">
        <v>143</v>
      </c>
      <c r="D415" s="5">
        <v>700</v>
      </c>
    </row>
    <row r="416" spans="1:4" s="3" customFormat="1" x14ac:dyDescent="0.25">
      <c r="A416" s="18" t="s">
        <v>159</v>
      </c>
      <c r="B416" s="8" t="s">
        <v>275</v>
      </c>
      <c r="C416" s="4">
        <v>32</v>
      </c>
      <c r="D416" s="5">
        <v>390</v>
      </c>
    </row>
    <row r="417" spans="1:4" s="3" customFormat="1" x14ac:dyDescent="0.25">
      <c r="A417" s="18" t="s">
        <v>118</v>
      </c>
      <c r="B417" s="8" t="s">
        <v>276</v>
      </c>
      <c r="C417" s="14" t="s">
        <v>32</v>
      </c>
      <c r="D417" s="5">
        <v>58</v>
      </c>
    </row>
    <row r="418" spans="1:4" x14ac:dyDescent="0.25">
      <c r="A418" s="18" t="s">
        <v>118</v>
      </c>
      <c r="B418" s="8" t="s">
        <v>277</v>
      </c>
      <c r="C418" s="24" t="s">
        <v>93</v>
      </c>
      <c r="D418" s="5">
        <v>630</v>
      </c>
    </row>
    <row r="419" spans="1:4" s="3" customFormat="1" x14ac:dyDescent="0.25">
      <c r="A419" s="18" t="s">
        <v>118</v>
      </c>
      <c r="B419" s="8">
        <v>45</v>
      </c>
      <c r="C419" s="24" t="s">
        <v>103</v>
      </c>
      <c r="D419" s="5">
        <v>250</v>
      </c>
    </row>
    <row r="420" spans="1:4" s="3" customFormat="1" x14ac:dyDescent="0.25">
      <c r="A420" s="18" t="s">
        <v>118</v>
      </c>
      <c r="B420" s="8">
        <v>45</v>
      </c>
      <c r="C420" s="24" t="s">
        <v>102</v>
      </c>
      <c r="D420" s="5">
        <v>354</v>
      </c>
    </row>
    <row r="421" spans="1:4" s="3" customFormat="1" x14ac:dyDescent="0.25">
      <c r="A421" s="18" t="s">
        <v>118</v>
      </c>
      <c r="B421" s="8" t="s">
        <v>278</v>
      </c>
      <c r="C421" s="14" t="s">
        <v>39</v>
      </c>
      <c r="D421" s="5">
        <v>80</v>
      </c>
    </row>
    <row r="422" spans="1:4" s="3" customFormat="1" x14ac:dyDescent="0.25">
      <c r="A422" s="18" t="s">
        <v>118</v>
      </c>
      <c r="B422" s="8" t="s">
        <v>279</v>
      </c>
      <c r="C422" s="14" t="s">
        <v>52</v>
      </c>
      <c r="D422" s="5">
        <v>32</v>
      </c>
    </row>
    <row r="423" spans="1:4" s="3" customFormat="1" x14ac:dyDescent="0.25">
      <c r="A423" s="18" t="s">
        <v>118</v>
      </c>
      <c r="B423" s="8" t="s">
        <v>280</v>
      </c>
      <c r="C423" s="14" t="s">
        <v>26</v>
      </c>
      <c r="D423" s="5">
        <v>130</v>
      </c>
    </row>
    <row r="424" spans="1:4" s="3" customFormat="1" x14ac:dyDescent="0.25">
      <c r="A424" s="18" t="s">
        <v>118</v>
      </c>
      <c r="B424" s="8" t="s">
        <v>281</v>
      </c>
      <c r="C424" s="24" t="s">
        <v>93</v>
      </c>
      <c r="D424" s="5">
        <v>147</v>
      </c>
    </row>
    <row r="425" spans="1:4" s="3" customFormat="1" x14ac:dyDescent="0.25">
      <c r="A425" s="18" t="s">
        <v>118</v>
      </c>
      <c r="B425" s="8" t="s">
        <v>282</v>
      </c>
      <c r="C425" s="24" t="s">
        <v>55</v>
      </c>
      <c r="D425" s="5">
        <v>21</v>
      </c>
    </row>
    <row r="426" spans="1:4" s="3" customFormat="1" x14ac:dyDescent="0.25">
      <c r="A426" s="18" t="s">
        <v>118</v>
      </c>
      <c r="B426" s="8" t="s">
        <v>283</v>
      </c>
      <c r="C426" s="24" t="s">
        <v>22</v>
      </c>
      <c r="D426" s="5">
        <v>9</v>
      </c>
    </row>
    <row r="427" spans="1:4" s="3" customFormat="1" x14ac:dyDescent="0.25">
      <c r="A427" s="18" t="s">
        <v>118</v>
      </c>
      <c r="B427" s="8" t="s">
        <v>283</v>
      </c>
      <c r="C427" s="14" t="s">
        <v>52</v>
      </c>
      <c r="D427" s="5">
        <v>69</v>
      </c>
    </row>
    <row r="428" spans="1:4" s="3" customFormat="1" x14ac:dyDescent="0.25">
      <c r="A428" s="18" t="s">
        <v>118</v>
      </c>
      <c r="B428" s="8" t="s">
        <v>284</v>
      </c>
      <c r="C428" s="14" t="s">
        <v>38</v>
      </c>
      <c r="D428" s="5">
        <v>90</v>
      </c>
    </row>
    <row r="429" spans="1:4" s="3" customFormat="1" x14ac:dyDescent="0.25">
      <c r="A429" s="18" t="s">
        <v>118</v>
      </c>
      <c r="B429" s="8" t="s">
        <v>285</v>
      </c>
      <c r="C429" s="24" t="s">
        <v>21</v>
      </c>
      <c r="D429" s="5">
        <v>14</v>
      </c>
    </row>
    <row r="430" spans="1:4" s="3" customFormat="1" x14ac:dyDescent="0.25">
      <c r="A430" s="18" t="s">
        <v>118</v>
      </c>
      <c r="B430" s="8" t="s">
        <v>234</v>
      </c>
      <c r="C430" s="24" t="s">
        <v>63</v>
      </c>
      <c r="D430" s="5">
        <v>50</v>
      </c>
    </row>
    <row r="431" spans="1:4" s="3" customFormat="1" x14ac:dyDescent="0.25">
      <c r="A431" s="18" t="s">
        <v>118</v>
      </c>
      <c r="B431" s="8" t="s">
        <v>235</v>
      </c>
      <c r="C431" s="24" t="s">
        <v>8</v>
      </c>
      <c r="D431" s="5">
        <v>580</v>
      </c>
    </row>
    <row r="432" spans="1:4" s="3" customFormat="1" x14ac:dyDescent="0.25">
      <c r="A432" s="18" t="s">
        <v>118</v>
      </c>
      <c r="B432" s="13" t="s">
        <v>286</v>
      </c>
      <c r="C432" s="14" t="s">
        <v>52</v>
      </c>
      <c r="D432" s="5">
        <v>102</v>
      </c>
    </row>
    <row r="433" spans="1:4" s="16" customFormat="1" x14ac:dyDescent="0.25">
      <c r="A433" s="18" t="s">
        <v>118</v>
      </c>
      <c r="B433" s="13" t="s">
        <v>287</v>
      </c>
      <c r="C433" s="14" t="s">
        <v>96</v>
      </c>
      <c r="D433" s="5">
        <v>470</v>
      </c>
    </row>
    <row r="434" spans="1:4" s="16" customFormat="1" x14ac:dyDescent="0.25">
      <c r="A434" s="18" t="s">
        <v>118</v>
      </c>
      <c r="B434" s="37" t="s">
        <v>288</v>
      </c>
      <c r="C434" s="44" t="s">
        <v>11</v>
      </c>
      <c r="D434" s="5">
        <v>134</v>
      </c>
    </row>
    <row r="435" spans="1:4" s="3" customFormat="1" x14ac:dyDescent="0.25">
      <c r="A435" s="18" t="s">
        <v>118</v>
      </c>
      <c r="B435" s="11" t="s">
        <v>289</v>
      </c>
      <c r="C435" s="44" t="s">
        <v>60</v>
      </c>
      <c r="D435" s="5">
        <v>2</v>
      </c>
    </row>
    <row r="436" spans="1:4" s="3" customFormat="1" x14ac:dyDescent="0.25">
      <c r="A436" s="18" t="s">
        <v>118</v>
      </c>
      <c r="B436" s="11" t="s">
        <v>290</v>
      </c>
      <c r="C436" s="44" t="s">
        <v>41</v>
      </c>
      <c r="D436" s="5">
        <v>25</v>
      </c>
    </row>
    <row r="437" spans="1:4" x14ac:dyDescent="0.25">
      <c r="A437" s="18" t="s">
        <v>118</v>
      </c>
      <c r="B437" s="8" t="s">
        <v>242</v>
      </c>
      <c r="C437" s="24" t="s">
        <v>35</v>
      </c>
      <c r="D437" s="5">
        <v>70</v>
      </c>
    </row>
    <row r="438" spans="1:4" x14ac:dyDescent="0.25">
      <c r="A438" s="18" t="s">
        <v>118</v>
      </c>
      <c r="B438" s="8" t="s">
        <v>242</v>
      </c>
      <c r="C438" s="24" t="s">
        <v>23</v>
      </c>
      <c r="D438" s="5">
        <v>64</v>
      </c>
    </row>
    <row r="439" spans="1:4" s="3" customFormat="1" x14ac:dyDescent="0.25">
      <c r="A439" s="18" t="s">
        <v>118</v>
      </c>
      <c r="B439" s="8" t="s">
        <v>242</v>
      </c>
      <c r="C439" s="24" t="s">
        <v>52</v>
      </c>
      <c r="D439" s="5">
        <v>142</v>
      </c>
    </row>
    <row r="440" spans="1:4" x14ac:dyDescent="0.25">
      <c r="A440" s="18" t="s">
        <v>118</v>
      </c>
      <c r="B440" s="8" t="s">
        <v>291</v>
      </c>
      <c r="C440" s="24" t="s">
        <v>7</v>
      </c>
      <c r="D440" s="5">
        <v>24</v>
      </c>
    </row>
    <row r="441" spans="1:4" x14ac:dyDescent="0.25">
      <c r="A441" s="18" t="s">
        <v>118</v>
      </c>
      <c r="B441" s="8" t="s">
        <v>292</v>
      </c>
      <c r="C441" s="24" t="s">
        <v>23</v>
      </c>
      <c r="D441" s="5">
        <v>43</v>
      </c>
    </row>
    <row r="442" spans="1:4" s="3" customFormat="1" x14ac:dyDescent="0.25">
      <c r="A442" s="18" t="s">
        <v>118</v>
      </c>
      <c r="B442" s="13" t="s">
        <v>293</v>
      </c>
      <c r="C442" s="24" t="s">
        <v>23</v>
      </c>
      <c r="D442" s="5">
        <v>75</v>
      </c>
    </row>
    <row r="443" spans="1:4" s="3" customFormat="1" x14ac:dyDescent="0.25">
      <c r="A443" s="18" t="s">
        <v>118</v>
      </c>
      <c r="B443" s="13" t="s">
        <v>294</v>
      </c>
      <c r="C443" s="24" t="s">
        <v>22</v>
      </c>
      <c r="D443" s="5">
        <v>57</v>
      </c>
    </row>
    <row r="444" spans="1:4" s="3" customFormat="1" x14ac:dyDescent="0.25">
      <c r="A444" s="18" t="s">
        <v>118</v>
      </c>
      <c r="B444" s="8" t="s">
        <v>295</v>
      </c>
      <c r="C444" s="24" t="s">
        <v>94</v>
      </c>
      <c r="D444" s="5">
        <v>32</v>
      </c>
    </row>
    <row r="445" spans="1:4" x14ac:dyDescent="0.25">
      <c r="A445" s="18" t="s">
        <v>118</v>
      </c>
      <c r="B445" s="8" t="s">
        <v>295</v>
      </c>
      <c r="C445" s="24" t="s">
        <v>22</v>
      </c>
      <c r="D445" s="5">
        <v>55</v>
      </c>
    </row>
    <row r="446" spans="1:4" x14ac:dyDescent="0.25">
      <c r="A446" s="18" t="s">
        <v>118</v>
      </c>
      <c r="B446" s="8">
        <v>15</v>
      </c>
      <c r="C446" s="24" t="s">
        <v>32</v>
      </c>
      <c r="D446" s="5">
        <v>195</v>
      </c>
    </row>
    <row r="447" spans="1:4" s="3" customFormat="1" x14ac:dyDescent="0.25">
      <c r="A447" s="18" t="s">
        <v>118</v>
      </c>
      <c r="B447" s="8" t="s">
        <v>296</v>
      </c>
      <c r="C447" s="24" t="s">
        <v>95</v>
      </c>
      <c r="D447" s="5">
        <v>38</v>
      </c>
    </row>
    <row r="448" spans="1:4" s="3" customFormat="1" x14ac:dyDescent="0.25">
      <c r="A448" s="18" t="s">
        <v>118</v>
      </c>
      <c r="B448" s="8" t="s">
        <v>296</v>
      </c>
      <c r="C448" s="24" t="s">
        <v>22</v>
      </c>
      <c r="D448" s="5">
        <v>138</v>
      </c>
    </row>
    <row r="449" spans="1:4" x14ac:dyDescent="0.25">
      <c r="A449" s="23" t="s">
        <v>111</v>
      </c>
      <c r="B449" s="8" t="s">
        <v>297</v>
      </c>
      <c r="C449" s="24" t="s">
        <v>105</v>
      </c>
      <c r="D449" s="5">
        <v>420</v>
      </c>
    </row>
    <row r="450" spans="1:4" x14ac:dyDescent="0.25">
      <c r="A450" s="23" t="s">
        <v>111</v>
      </c>
      <c r="B450" s="8" t="s">
        <v>298</v>
      </c>
      <c r="C450" s="24" t="s">
        <v>98</v>
      </c>
      <c r="D450" s="5">
        <v>40</v>
      </c>
    </row>
    <row r="451" spans="1:4" s="3" customFormat="1" x14ac:dyDescent="0.25">
      <c r="A451" s="21" t="s">
        <v>111</v>
      </c>
      <c r="B451" s="8" t="s">
        <v>299</v>
      </c>
      <c r="C451" s="24" t="s">
        <v>99</v>
      </c>
      <c r="D451" s="5">
        <v>1160</v>
      </c>
    </row>
    <row r="452" spans="1:4" s="3" customFormat="1" x14ac:dyDescent="0.25">
      <c r="A452" s="23" t="s">
        <v>111</v>
      </c>
      <c r="B452" s="8" t="s">
        <v>300</v>
      </c>
      <c r="C452" s="24" t="s">
        <v>97</v>
      </c>
      <c r="D452" s="5">
        <v>84</v>
      </c>
    </row>
    <row r="453" spans="1:4" s="3" customFormat="1" x14ac:dyDescent="0.25">
      <c r="A453" s="20" t="s">
        <v>133</v>
      </c>
      <c r="B453" s="13" t="s">
        <v>259</v>
      </c>
      <c r="C453" s="17" t="s">
        <v>137</v>
      </c>
      <c r="D453" s="5">
        <f>3462-2100</f>
        <v>1362</v>
      </c>
    </row>
    <row r="454" spans="1:4" s="3" customFormat="1" x14ac:dyDescent="0.25">
      <c r="A454" s="23" t="s">
        <v>112</v>
      </c>
      <c r="B454" s="13" t="s">
        <v>301</v>
      </c>
      <c r="C454" s="14" t="s">
        <v>100</v>
      </c>
      <c r="D454" s="5">
        <v>100</v>
      </c>
    </row>
    <row r="455" spans="1:4" s="3" customFormat="1" x14ac:dyDescent="0.25">
      <c r="A455" s="23" t="s">
        <v>113</v>
      </c>
      <c r="B455" s="13" t="s">
        <v>295</v>
      </c>
      <c r="C455" s="17">
        <v>17</v>
      </c>
      <c r="D455" s="5">
        <v>48</v>
      </c>
    </row>
    <row r="456" spans="1:4" s="3" customFormat="1" x14ac:dyDescent="0.25">
      <c r="A456" s="23" t="s">
        <v>113</v>
      </c>
      <c r="B456" s="13" t="s">
        <v>295</v>
      </c>
      <c r="C456" s="17">
        <v>22</v>
      </c>
      <c r="D456" s="5">
        <v>233</v>
      </c>
    </row>
    <row r="457" spans="1:4" s="3" customFormat="1" x14ac:dyDescent="0.25">
      <c r="A457" s="23" t="s">
        <v>113</v>
      </c>
      <c r="B457" s="13">
        <v>15</v>
      </c>
      <c r="C457" s="17">
        <v>10</v>
      </c>
      <c r="D457" s="5">
        <v>30</v>
      </c>
    </row>
    <row r="458" spans="1:4" s="3" customFormat="1" x14ac:dyDescent="0.25">
      <c r="A458" s="23" t="s">
        <v>110</v>
      </c>
      <c r="B458" s="13" t="s">
        <v>267</v>
      </c>
      <c r="C458" s="14" t="s">
        <v>104</v>
      </c>
      <c r="D458" s="5">
        <f>230-81</f>
        <v>149</v>
      </c>
    </row>
    <row r="459" spans="1:4" s="3" customFormat="1" x14ac:dyDescent="0.25">
      <c r="A459" s="23" t="s">
        <v>110</v>
      </c>
      <c r="B459" s="13" t="s">
        <v>267</v>
      </c>
      <c r="C459" s="14" t="s">
        <v>101</v>
      </c>
      <c r="D459" s="5">
        <v>32</v>
      </c>
    </row>
    <row r="460" spans="1:4" s="3" customFormat="1" x14ac:dyDescent="0.25">
      <c r="A460" s="20" t="s">
        <v>112</v>
      </c>
      <c r="B460" s="13" t="s">
        <v>223</v>
      </c>
      <c r="C460" s="14" t="s">
        <v>138</v>
      </c>
      <c r="D460" s="5">
        <v>74</v>
      </c>
    </row>
    <row r="461" spans="1:4" s="3" customFormat="1" x14ac:dyDescent="0.25">
      <c r="A461" s="19" t="s">
        <v>110</v>
      </c>
      <c r="B461" s="9" t="s">
        <v>44</v>
      </c>
      <c r="C461" s="7" t="s">
        <v>45</v>
      </c>
      <c r="D461" s="5">
        <v>4700</v>
      </c>
    </row>
    <row r="462" spans="1:4" s="3" customFormat="1" x14ac:dyDescent="0.25">
      <c r="A462" s="18" t="s">
        <v>110</v>
      </c>
      <c r="B462" s="6" t="s">
        <v>44</v>
      </c>
      <c r="C462" s="2" t="s">
        <v>46</v>
      </c>
      <c r="D462" s="5">
        <v>3800</v>
      </c>
    </row>
  </sheetData>
  <autoFilter ref="A1:D462"/>
  <phoneticPr fontId="3" type="noConversion"/>
  <pageMargins left="0.19685039370078741" right="0.19685039370078741" top="0.35433070866141736" bottom="0.19685039370078741" header="0.15748031496062992" footer="0.19685039370078741"/>
  <pageSetup paperSize="9" scale="5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SKLADOVE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Veselin Vladov</dc:creator>
  <cp:lastModifiedBy>plamenorama</cp:lastModifiedBy>
  <cp:lastPrinted>2019-01-04T11:14:43Z</cp:lastPrinted>
  <dcterms:created xsi:type="dcterms:W3CDTF">1996-10-14T23:33:28Z</dcterms:created>
  <dcterms:modified xsi:type="dcterms:W3CDTF">2019-06-21T17:10:10Z</dcterms:modified>
</cp:coreProperties>
</file>