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301\Lab 7\"/>
    </mc:Choice>
  </mc:AlternateContent>
  <xr:revisionPtr revIDLastSave="0" documentId="13_ncr:1_{207BF9D2-AE4C-4510-840F-20B161A0C4E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Data" sheetId="10" r:id="rId2"/>
  </sheets>
  <definedNames>
    <definedName name="_Ref150229505" localSheetId="1">Data!$A$74</definedName>
    <definedName name="_Ref150229579" localSheetId="1">Data!$A$78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0" l="1"/>
  <c r="J62" i="10" a="1"/>
  <c r="J62" i="10" s="1"/>
  <c r="N58" i="10"/>
  <c r="N59" i="10"/>
  <c r="N57" i="10"/>
  <c r="M53" i="10"/>
  <c r="L59" i="10" s="1"/>
  <c r="L99" i="10"/>
  <c r="L98" i="10"/>
  <c r="I95" i="10"/>
  <c r="N82" i="10"/>
  <c r="Q81" i="10"/>
  <c r="N13" i="10"/>
  <c r="M57" i="10"/>
  <c r="X49" i="10"/>
  <c r="W49" i="10"/>
  <c r="U49" i="10"/>
  <c r="T49" i="10"/>
  <c r="S49" i="10"/>
  <c r="R49" i="10"/>
  <c r="J95" i="10"/>
  <c r="L97" i="10"/>
  <c r="F96" i="10"/>
  <c r="F95" i="10"/>
  <c r="E96" i="10"/>
  <c r="H96" i="10" s="1"/>
  <c r="E95" i="10"/>
  <c r="H95" i="10" s="1"/>
  <c r="D95" i="10"/>
  <c r="D96" i="10"/>
  <c r="N83" i="10"/>
  <c r="N84" i="10"/>
  <c r="N85" i="10"/>
  <c r="N86" i="10"/>
  <c r="N87" i="10"/>
  <c r="N88" i="10"/>
  <c r="N89" i="10"/>
  <c r="N90" i="10"/>
  <c r="N91" i="10"/>
  <c r="O83" i="10"/>
  <c r="O84" i="10"/>
  <c r="O85" i="10"/>
  <c r="O86" i="10"/>
  <c r="O87" i="10"/>
  <c r="O88" i="10"/>
  <c r="O89" i="10"/>
  <c r="O90" i="10"/>
  <c r="O91" i="10"/>
  <c r="O82" i="10"/>
  <c r="G95" i="10" l="1"/>
  <c r="L57" i="10"/>
  <c r="L58" i="10"/>
  <c r="G96" i="10"/>
  <c r="V49" i="10"/>
  <c r="I83" i="10" l="1"/>
  <c r="J83" i="10"/>
  <c r="K83" i="10"/>
  <c r="L83" i="10"/>
  <c r="I84" i="10"/>
  <c r="J84" i="10"/>
  <c r="K84" i="10"/>
  <c r="L84" i="10"/>
  <c r="I85" i="10"/>
  <c r="J85" i="10"/>
  <c r="K85" i="10"/>
  <c r="L85" i="10"/>
  <c r="I86" i="10"/>
  <c r="J86" i="10"/>
  <c r="K86" i="10"/>
  <c r="L86" i="10"/>
  <c r="I87" i="10"/>
  <c r="J87" i="10"/>
  <c r="K87" i="10"/>
  <c r="M87" i="10" s="1"/>
  <c r="L87" i="10"/>
  <c r="I88" i="10"/>
  <c r="J88" i="10"/>
  <c r="K88" i="10"/>
  <c r="L88" i="10"/>
  <c r="I89" i="10"/>
  <c r="J89" i="10"/>
  <c r="K89" i="10"/>
  <c r="L89" i="10"/>
  <c r="I90" i="10"/>
  <c r="J90" i="10"/>
  <c r="K90" i="10"/>
  <c r="L90" i="10"/>
  <c r="I91" i="10"/>
  <c r="J91" i="10"/>
  <c r="K91" i="10"/>
  <c r="L91" i="10"/>
  <c r="J82" i="10"/>
  <c r="I82" i="10"/>
  <c r="L82" i="10"/>
  <c r="K82" i="10"/>
  <c r="K17" i="10" a="1"/>
  <c r="K17" i="10" s="1"/>
  <c r="K8" i="10"/>
  <c r="O77" i="10"/>
  <c r="O76" i="10"/>
  <c r="O72" i="10"/>
  <c r="O70" i="10"/>
  <c r="J72" i="10"/>
  <c r="C70" i="10"/>
  <c r="J70" i="10"/>
  <c r="J77" i="10"/>
  <c r="J76" i="10"/>
  <c r="C32" i="4"/>
  <c r="C31" i="4"/>
  <c r="C34" i="4"/>
  <c r="M91" i="10" l="1"/>
  <c r="M89" i="10"/>
  <c r="M90" i="10"/>
  <c r="M83" i="10"/>
  <c r="M85" i="10"/>
  <c r="M82" i="10"/>
  <c r="M84" i="10"/>
  <c r="M86" i="10"/>
  <c r="M88" i="10"/>
  <c r="Q70" i="10"/>
  <c r="L70" i="10"/>
  <c r="D70" i="10" s="1"/>
  <c r="E70" i="10" s="1"/>
  <c r="K5" i="10" s="1"/>
  <c r="Y49" i="10" s="1"/>
  <c r="P86" i="10" l="1"/>
  <c r="P91" i="10"/>
  <c r="P90" i="10"/>
  <c r="P87" i="10"/>
  <c r="P84" i="10"/>
  <c r="P88" i="10"/>
  <c r="P85" i="10"/>
  <c r="P82" i="10"/>
  <c r="P89" i="10"/>
  <c r="P83" i="10"/>
  <c r="K9" i="10"/>
  <c r="C95" i="10" l="1"/>
  <c r="C96" i="10"/>
  <c r="K13" i="10"/>
  <c r="J96" i="10" l="1"/>
  <c r="I9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<sst xmlns="http://schemas.openxmlformats.org/spreadsheetml/2006/main" count="176" uniqueCount="119">
  <si>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</si>
  <si>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</si>
  <si>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</si>
  <si>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</si>
  <si>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</si>
  <si>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</si>
  <si>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</si>
  <si>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Marking Category</t>
  </si>
  <si>
    <t>Student and group information is complete.</t>
  </si>
  <si>
    <t>Student Mark</t>
  </si>
  <si>
    <t>Maximum Marks</t>
  </si>
  <si>
    <t>Presentation of Figures and Tables. (Are the course requirements for figures and tables followed?)</t>
  </si>
  <si>
    <t>Organization and explaination. (Is the analysis of the data easy to follow and well explained?)</t>
  </si>
  <si>
    <t>Total</t>
  </si>
  <si>
    <t>Grading Rubric: To be completed by the Teaching Assistant</t>
  </si>
  <si>
    <t>Percentage</t>
  </si>
  <si>
    <t xml:space="preserve">Table 1: K values for the lab orifice flow meter </t>
  </si>
  <si>
    <r>
      <t>(Pipe ID = 74.6 mm, Orifice ID = 27.3 mm, Temperature = 21</t>
    </r>
    <r>
      <rPr>
        <vertAlign val="superscript"/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C, Patm = 699.0 mmHg)</t>
    </r>
  </si>
  <si>
    <r>
      <t>D</t>
    </r>
    <r>
      <rPr>
        <b/>
        <i/>
        <sz val="10"/>
        <color rgb="FF000000"/>
        <rFont val="Times New Roman"/>
        <family val="1"/>
      </rPr>
      <t>P</t>
    </r>
    <r>
      <rPr>
        <b/>
        <sz val="10"/>
        <color rgb="FF000000"/>
        <rFont val="Times New Roman"/>
        <family val="1"/>
      </rPr>
      <t xml:space="preserve"> (inches of alcohol)</t>
    </r>
  </si>
  <si>
    <r>
      <t>K</t>
    </r>
    <r>
      <rPr>
        <b/>
        <sz val="10"/>
        <color rgb="FF000000"/>
        <rFont val="Times New Roman"/>
        <family val="1"/>
      </rPr>
      <t>, orifice coefficient</t>
    </r>
  </si>
  <si>
    <t>Pitot-tube position w.r.t. the pipe centre</t>
  </si>
  <si>
    <t>Pitot-tube position (mm)</t>
  </si>
  <si>
    <t>Left</t>
  </si>
  <si>
    <t>Centre</t>
  </si>
  <si>
    <t>Right</t>
  </si>
  <si>
    <r>
      <t>Dynamic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</si>
  <si>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Stagnation pressure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</si>
  <si>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Table 2: Air velocity profile at the pipe exit</t>
  </si>
  <si>
    <t>Pitot-tube angle w.r.t. the pipe centreline</t>
  </si>
  <si>
    <t>Pitot-tube yaw angle (Deg)</t>
  </si>
  <si>
    <t>Anemometer voltage (V)</t>
  </si>
  <si>
    <t>Barometer reading (mmHg)</t>
  </si>
  <si>
    <t>Correction for temperature (mmHg)</t>
  </si>
  <si>
    <t>Correction for latitude (mmHg)</t>
  </si>
  <si>
    <r>
      <t>Temperature (</t>
    </r>
    <r>
      <rPr>
        <vertAlign val="superscript"/>
        <sz val="10"/>
        <color rgb="FF000000"/>
        <rFont val="Times New Roman"/>
        <family val="1"/>
      </rPr>
      <t>o</t>
    </r>
    <r>
      <rPr>
        <sz val="10"/>
        <color rgb="FF000000"/>
        <rFont val="Times New Roman"/>
        <family val="1"/>
      </rPr>
      <t>C)</t>
    </r>
  </si>
  <si>
    <t>Corrected pressure* (mmHg)</t>
  </si>
  <si>
    <t>* Calculation needed.</t>
  </si>
  <si>
    <t>Nozzle ID (mm)</t>
  </si>
  <si>
    <t>Orifice ID (mm)</t>
  </si>
  <si>
    <t>Venturi ID (mm)</t>
  </si>
  <si>
    <t>Rotameter (%)</t>
  </si>
  <si>
    <t>Venturi</t>
  </si>
  <si>
    <r>
      <t>Laminar element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</si>
  <si>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Magnehelic (cmH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</si>
  <si>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r>
      <t>Inclinometer (mmH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O)</t>
    </r>
  </si>
  <si>
    <t>Flow Temp (°C)</t>
  </si>
  <si>
    <t>Turbine meter (Hz)</t>
  </si>
  <si>
    <t>Orifice (inches of alcohol)</t>
  </si>
  <si>
    <t>Nozzle (inches of alcohol)</t>
  </si>
  <si>
    <t>Table 3: Pitot-tube reading error due to misalignment with the flow direction</t>
  </si>
  <si>
    <t>Table 4: Hot wire anemometer calibration</t>
  </si>
  <si>
    <t>Table 5: Ambient pressure and temperature (used for air density calculation)</t>
  </si>
  <si>
    <t>Table 6: Obstruction meter internal diameters</t>
  </si>
  <si>
    <t>Table 7: Calibration data from flow rate rig</t>
  </si>
  <si>
    <t>Q1</t>
  </si>
  <si>
    <t>Q2</t>
  </si>
  <si>
    <t>Q3</t>
  </si>
  <si>
    <t>Q4</t>
  </si>
  <si>
    <t>Q5</t>
  </si>
  <si>
    <t>Q6</t>
  </si>
  <si>
    <t>Q7</t>
  </si>
  <si>
    <t>Q8</t>
  </si>
  <si>
    <t>Days late (less than)</t>
  </si>
  <si>
    <t>Grade</t>
  </si>
  <si>
    <t>linearizer</t>
  </si>
  <si>
    <t>y2</t>
  </si>
  <si>
    <t>x</t>
  </si>
  <si>
    <t>x2</t>
  </si>
  <si>
    <t>y1</t>
  </si>
  <si>
    <t>x1</t>
  </si>
  <si>
    <t>Question 1</t>
  </si>
  <si>
    <t>PV = mRT</t>
  </si>
  <si>
    <t>m/V = P/RT</t>
  </si>
  <si>
    <t>Question 2</t>
  </si>
  <si>
    <t>v</t>
  </si>
  <si>
    <t>mmH2O -&gt;Pa</t>
  </si>
  <si>
    <t>m/V</t>
  </si>
  <si>
    <t>homework and exercises - How is formula for converting pressure from mmHg to Pa derived? - Physics Stack Exchange</t>
  </si>
  <si>
    <t>m/s</t>
  </si>
  <si>
    <t>Question 3</t>
  </si>
  <si>
    <t>v_{-45}</t>
  </si>
  <si>
    <t>err</t>
  </si>
  <si>
    <t>Question 4</t>
  </si>
  <si>
    <t>plot to be remade in matplotlib</t>
  </si>
  <si>
    <t>sens-&gt;</t>
  </si>
  <si>
    <t>intercept</t>
  </si>
  <si>
    <t>s_a</t>
  </si>
  <si>
    <t>s_b</t>
  </si>
  <si>
    <t>R^2</t>
  </si>
  <si>
    <t>K</t>
  </si>
  <si>
    <t>Delta P (Pa)</t>
  </si>
  <si>
    <t>Q</t>
  </si>
  <si>
    <t>Question 5 is in table</t>
  </si>
  <si>
    <t>Orfice Pressure</t>
  </si>
  <si>
    <t>A_c</t>
  </si>
  <si>
    <t>Pressure</t>
  </si>
  <si>
    <t>Nozzle</t>
  </si>
  <si>
    <t>beta</t>
  </si>
  <si>
    <t>d</t>
  </si>
  <si>
    <t>D</t>
  </si>
  <si>
    <t>C_d</t>
  </si>
  <si>
    <t>Re</t>
  </si>
  <si>
    <t>V</t>
  </si>
  <si>
    <t>mu</t>
  </si>
  <si>
    <t>Pipe ID 
(mm)</t>
  </si>
  <si>
    <t>Question 6 is in table</t>
  </si>
  <si>
    <t>Question 7</t>
  </si>
  <si>
    <t>relative</t>
  </si>
  <si>
    <t>pressure</t>
  </si>
  <si>
    <t>orifice</t>
  </si>
  <si>
    <t>Error prop for air density</t>
  </si>
  <si>
    <t>epsilon/rho</t>
  </si>
  <si>
    <t>temp</t>
  </si>
  <si>
    <t>density</t>
  </si>
  <si>
    <t>nozzle</t>
  </si>
  <si>
    <t>Orfice Area</t>
  </si>
  <si>
    <t>rel err</t>
  </si>
  <si>
    <t>venturi</t>
  </si>
  <si>
    <t>Question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</si>
</sst>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"/>
    <numFmt numFmtId="165" formatCode="0.000"/>
    <numFmt numFmtId="166" formatCode="0.0"/>
    <numFmt numFmtId="167" formatCode="0.0000"/>
    <numFmt numFmtId="168" formatCode="0.00000"/>
    <numFmt numFmtId="169" formatCode="0.0E+00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vertAlign val="superscript"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Symbol"/>
      <family val="1"/>
      <charset val="2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9" fontId="2" fillId="0" borderId="0" xfId="1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0" fillId="0" borderId="0" xfId="2"/>
    <xf numFmtId="0" fontId="1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2" fillId="0" borderId="0" xfId="0" applyNumberFormat="1" applyFont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8" fontId="1" fillId="0" borderId="0" xfId="0" applyNumberFormat="1" applyFont="1"/>
    <xf numFmtId="168" fontId="0" fillId="0" borderId="0" xfId="0" applyNumberFormat="1"/>
    <xf numFmtId="1" fontId="0" fillId="0" borderId="0" xfId="0" applyNumberFormat="1"/>
    <xf numFmtId="169" fontId="0" fillId="0" borderId="0" xfId="0" applyNumberFormat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ysics.stackexchange.com/questions/8331/how-is-formula-for-converting-pressure-from-mmhg-to-pa-deriv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4"/>
  <sheetViews>
    <sheetView workbookViewId="0">
      <selection activeCell="F13" sqref="F13"/>
    </sheetView>
  </sheetViews>
  <sheetFormatPr defaultColWidth="10.85546875" defaultRowHeight="15.75" x14ac:dyDescent="0.25"/>
  <cols>
    <col min="1" max="1" width="22" style="2" bestFit="1" customWidth="1"/>
    <col min="2" max="2" width="18.42578125" style="2" customWidth="1"/>
    <col min="3" max="3" width="14.5703125" style="2" customWidth="1"/>
    <col min="4" max="16384" width="10.85546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8" spans="1:3" x14ac:dyDescent="0.25">
      <c r="A18" s="2" t="s">
        <v>14</v>
      </c>
    </row>
    <row r="19" spans="1:3" x14ac:dyDescent="0.25">
      <c r="A19" s="3" t="s">
        <v>7</v>
      </c>
      <c r="B19" s="3" t="s">
        <v>10</v>
      </c>
      <c r="C19" s="3" t="s">
        <v>9</v>
      </c>
    </row>
    <row r="20" spans="1:3" ht="31.5" x14ac:dyDescent="0.25">
      <c r="A20" s="4" t="s">
        <v>8</v>
      </c>
      <c r="B20" s="5">
        <v>2</v>
      </c>
      <c r="C20" s="5"/>
    </row>
    <row r="21" spans="1:3" x14ac:dyDescent="0.25">
      <c r="A21" s="5" t="s">
        <v>54</v>
      </c>
      <c r="B21" s="5">
        <v>1</v>
      </c>
      <c r="C21" s="5"/>
    </row>
    <row r="22" spans="1:3" x14ac:dyDescent="0.25">
      <c r="A22" s="5" t="s">
        <v>55</v>
      </c>
      <c r="B22" s="5">
        <v>2</v>
      </c>
      <c r="C22" s="5"/>
    </row>
    <row r="23" spans="1:3" x14ac:dyDescent="0.25">
      <c r="A23" s="5" t="s">
        <v>56</v>
      </c>
      <c r="B23" s="5">
        <v>2</v>
      </c>
      <c r="C23" s="5"/>
    </row>
    <row r="24" spans="1:3" x14ac:dyDescent="0.25">
      <c r="A24" s="5" t="s">
        <v>57</v>
      </c>
      <c r="B24" s="5">
        <v>2</v>
      </c>
      <c r="C24" s="5"/>
    </row>
    <row r="25" spans="1:3" x14ac:dyDescent="0.25">
      <c r="A25" s="5" t="s">
        <v>58</v>
      </c>
      <c r="B25" s="5">
        <v>2</v>
      </c>
      <c r="C25" s="5"/>
    </row>
    <row r="26" spans="1:3" x14ac:dyDescent="0.25">
      <c r="A26" s="5" t="s">
        <v>59</v>
      </c>
      <c r="B26" s="5">
        <v>3</v>
      </c>
      <c r="C26" s="5"/>
    </row>
    <row r="27" spans="1:3" x14ac:dyDescent="0.25">
      <c r="A27" s="5" t="s">
        <v>60</v>
      </c>
      <c r="B27" s="5">
        <v>4</v>
      </c>
      <c r="C27" s="5"/>
    </row>
    <row r="28" spans="1:3" x14ac:dyDescent="0.25">
      <c r="A28" s="5" t="s">
        <v>61</v>
      </c>
      <c r="B28" s="5">
        <v>2</v>
      </c>
      <c r="C28" s="5"/>
    </row>
    <row r="29" spans="1:3" ht="78.75" x14ac:dyDescent="0.25">
      <c r="A29" s="4" t="s">
        <v>11</v>
      </c>
      <c r="B29" s="5">
        <v>2</v>
      </c>
      <c r="C29" s="5"/>
    </row>
    <row r="30" spans="1:3" ht="78.75" x14ac:dyDescent="0.25">
      <c r="A30" s="6" t="s">
        <v>12</v>
      </c>
      <c r="B30" s="3">
        <v>2</v>
      </c>
      <c r="C30" s="3"/>
    </row>
    <row r="31" spans="1:3" x14ac:dyDescent="0.25">
      <c r="A31" s="5"/>
      <c r="B31" s="5" t="s">
        <v>13</v>
      </c>
      <c r="C31" s="5">
        <f>SUM(C20:C30)</f>
        <v>0</v>
      </c>
    </row>
    <row r="32" spans="1:3" x14ac:dyDescent="0.25">
      <c r="A32" s="5"/>
      <c r="B32" s="5" t="s">
        <v>15</v>
      </c>
      <c r="C32" s="7">
        <f>C31/SUM(B20:B30)</f>
        <v>0</v>
      </c>
    </row>
    <row r="33" spans="1:3" x14ac:dyDescent="0.25">
      <c r="A33" s="5"/>
      <c r="B33" s="5" t="s">
        <v>62</v>
      </c>
      <c r="C33" s="5">
        <v>0</v>
      </c>
    </row>
    <row r="34" spans="1:3" x14ac:dyDescent="0.25">
      <c r="A34" s="5"/>
      <c r="B34" s="5" t="s">
        <v>63</v>
      </c>
      <c r="C34" s="7">
        <f>IF(C33=1,C32-0.1,IF(C33=2,C32-0.2,IF(C33=3,C32-0.6,IF(C33&gt;=4,0,C32))))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20CD-CFFA-604A-B1A6-58C924DA13F1}">
  <dimension ref="A1:Y99"/>
  <sheetViews>
    <sheetView tabSelected="1" zoomScale="145" zoomScaleNormal="145" workbookViewId="0">
      <selection activeCell="K13" sqref="K13"/>
    </sheetView>
  </sheetViews>
  <sheetFormatPr defaultColWidth="10.85546875" defaultRowHeight="12.75" x14ac:dyDescent="0.2"/>
  <cols>
    <col min="3" max="3" width="12" customWidth="1"/>
    <col min="14" max="14" width="10.85546875" customWidth="1"/>
  </cols>
  <sheetData>
    <row r="1" spans="1:15" x14ac:dyDescent="0.2">
      <c r="A1" t="s">
        <v>16</v>
      </c>
    </row>
    <row r="2" spans="1:15" ht="14.25" x14ac:dyDescent="0.2">
      <c r="A2" s="8" t="s">
        <v>17</v>
      </c>
      <c r="J2" s="8" t="s">
        <v>70</v>
      </c>
    </row>
    <row r="3" spans="1:15" ht="26.25" x14ac:dyDescent="0.2">
      <c r="A3" s="10" t="s">
        <v>18</v>
      </c>
      <c r="B3" s="11" t="s">
        <v>19</v>
      </c>
      <c r="J3" s="8" t="s">
        <v>71</v>
      </c>
    </row>
    <row r="4" spans="1:15" x14ac:dyDescent="0.2">
      <c r="A4" s="9">
        <v>1</v>
      </c>
      <c r="B4" s="9">
        <v>0.60950000000000004</v>
      </c>
      <c r="J4" s="8" t="s">
        <v>72</v>
      </c>
    </row>
    <row r="5" spans="1:15" x14ac:dyDescent="0.2">
      <c r="A5" s="9">
        <v>2</v>
      </c>
      <c r="B5" s="9">
        <v>0.60660000000000003</v>
      </c>
      <c r="J5" s="8" t="s">
        <v>76</v>
      </c>
      <c r="K5">
        <f>E70/7.501/0.287/(B70+273.15)</f>
        <v>1.1157318004366954</v>
      </c>
    </row>
    <row r="6" spans="1:15" x14ac:dyDescent="0.2">
      <c r="A6" s="9">
        <v>3</v>
      </c>
      <c r="B6" s="9">
        <v>0.60529999999999995</v>
      </c>
      <c r="L6">
        <v>9.7805700000000009</v>
      </c>
    </row>
    <row r="7" spans="1:15" x14ac:dyDescent="0.2">
      <c r="A7" s="9">
        <v>4</v>
      </c>
      <c r="B7" s="9">
        <v>0.60450000000000004</v>
      </c>
      <c r="J7" s="8" t="s">
        <v>73</v>
      </c>
    </row>
    <row r="8" spans="1:15" x14ac:dyDescent="0.2">
      <c r="A8" s="9">
        <v>5</v>
      </c>
      <c r="B8" s="9">
        <v>0.60399999999999998</v>
      </c>
      <c r="J8" s="8" t="s">
        <v>75</v>
      </c>
      <c r="K8">
        <f>0.001*997*9.81</f>
        <v>9.7805700000000009</v>
      </c>
      <c r="L8" s="26" t="s">
        <v>77</v>
      </c>
    </row>
    <row r="9" spans="1:15" x14ac:dyDescent="0.2">
      <c r="A9" s="9">
        <v>6</v>
      </c>
      <c r="B9" s="9">
        <v>0.60360000000000003</v>
      </c>
      <c r="J9" s="8" t="s">
        <v>74</v>
      </c>
      <c r="K9">
        <f>SQRT(2*C32*K8/K5)</f>
        <v>18.958069256656128</v>
      </c>
      <c r="L9" s="8" t="s">
        <v>78</v>
      </c>
    </row>
    <row r="10" spans="1:15" x14ac:dyDescent="0.2">
      <c r="A10" s="9">
        <v>7</v>
      </c>
      <c r="B10" s="9">
        <v>0.60329999999999995</v>
      </c>
    </row>
    <row r="11" spans="1:15" x14ac:dyDescent="0.2">
      <c r="A11" s="9">
        <v>8</v>
      </c>
      <c r="B11" s="9">
        <v>0.60309999999999997</v>
      </c>
      <c r="J11" s="8" t="s">
        <v>79</v>
      </c>
      <c r="M11">
        <v>18.958069256656128</v>
      </c>
    </row>
    <row r="12" spans="1:15" x14ac:dyDescent="0.2">
      <c r="A12" s="9">
        <v>9</v>
      </c>
      <c r="B12" s="9">
        <v>0.60289999999999999</v>
      </c>
      <c r="J12" s="8" t="s">
        <v>80</v>
      </c>
      <c r="K12">
        <f>SQRT(2*C26*K8/K5)</f>
        <v>13.567874708873788</v>
      </c>
      <c r="M12">
        <v>13.567874708873788</v>
      </c>
    </row>
    <row r="13" spans="1:15" x14ac:dyDescent="0.2">
      <c r="A13" s="9">
        <v>10</v>
      </c>
      <c r="B13" s="9">
        <v>0.6028</v>
      </c>
      <c r="J13" s="8" t="s">
        <v>81</v>
      </c>
      <c r="K13">
        <f>ABS(K12-K9)</f>
        <v>5.3901945477823396</v>
      </c>
      <c r="N13">
        <f>(M11-M12)/M11*100</f>
        <v>28.432191457945311</v>
      </c>
    </row>
    <row r="14" spans="1:15" x14ac:dyDescent="0.2">
      <c r="A14" s="9">
        <v>15</v>
      </c>
      <c r="B14" s="9">
        <v>0.60199999999999998</v>
      </c>
      <c r="O14">
        <v>28.432191457945311</v>
      </c>
    </row>
    <row r="15" spans="1:15" x14ac:dyDescent="0.2">
      <c r="A15" s="9">
        <v>20</v>
      </c>
      <c r="B15" s="9">
        <v>0.60170000000000001</v>
      </c>
      <c r="J15" s="8" t="s">
        <v>82</v>
      </c>
    </row>
    <row r="16" spans="1:15" x14ac:dyDescent="0.2">
      <c r="A16" s="9">
        <v>25</v>
      </c>
      <c r="B16" s="9">
        <v>0.60150000000000003</v>
      </c>
      <c r="J16" s="8" t="s">
        <v>83</v>
      </c>
    </row>
    <row r="17" spans="1:13" x14ac:dyDescent="0.2">
      <c r="A17" s="9">
        <v>30</v>
      </c>
      <c r="B17" s="9">
        <v>0.60129999999999995</v>
      </c>
      <c r="J17" s="8" t="s">
        <v>84</v>
      </c>
      <c r="K17" s="30" cm="1">
        <f t="array" ref="K17:L21">LINEST(B56:B65,A56:A65, TRUE, TRUE)</f>
        <v>0.26600136085280102</v>
      </c>
      <c r="L17">
        <v>3.6604853708323879</v>
      </c>
      <c r="M17" s="8" t="s">
        <v>85</v>
      </c>
    </row>
    <row r="18" spans="1:13" x14ac:dyDescent="0.2">
      <c r="A18" s="9">
        <v>35</v>
      </c>
      <c r="B18" s="9">
        <v>0.60109999999999997</v>
      </c>
      <c r="J18" s="8" t="s">
        <v>86</v>
      </c>
      <c r="K18">
        <v>1.4288925610284648E-2</v>
      </c>
      <c r="L18">
        <v>0.18667429980597816</v>
      </c>
      <c r="M18" s="8" t="s">
        <v>87</v>
      </c>
    </row>
    <row r="19" spans="1:13" x14ac:dyDescent="0.2">
      <c r="A19" s="9">
        <v>40</v>
      </c>
      <c r="B19" s="9">
        <v>0.60109999999999997</v>
      </c>
      <c r="J19" s="8" t="s">
        <v>88</v>
      </c>
      <c r="K19">
        <v>0.97743632196261887</v>
      </c>
      <c r="L19">
        <v>0.33544755532336196</v>
      </c>
    </row>
    <row r="20" spans="1:13" x14ac:dyDescent="0.2">
      <c r="A20" s="9">
        <v>45</v>
      </c>
      <c r="B20" s="9">
        <v>0.60099999999999998</v>
      </c>
      <c r="K20">
        <v>346.55212517863521</v>
      </c>
      <c r="L20">
        <v>8</v>
      </c>
    </row>
    <row r="21" spans="1:13" x14ac:dyDescent="0.2">
      <c r="A21" s="12">
        <v>50</v>
      </c>
      <c r="B21" s="12">
        <v>0.60099999999999998</v>
      </c>
      <c r="K21">
        <v>38.995799501020628</v>
      </c>
      <c r="L21">
        <v>0.90020049897935994</v>
      </c>
    </row>
    <row r="22" spans="1:13" x14ac:dyDescent="0.2">
      <c r="J22" s="8" t="s">
        <v>92</v>
      </c>
    </row>
    <row r="23" spans="1:13" x14ac:dyDescent="0.2">
      <c r="J23" t="s">
        <v>89</v>
      </c>
      <c r="K23" s="8" t="s">
        <v>115</v>
      </c>
      <c r="L23" t="s">
        <v>90</v>
      </c>
      <c r="M23" t="s">
        <v>91</v>
      </c>
    </row>
    <row r="24" spans="1:13" x14ac:dyDescent="0.2">
      <c r="A24" s="42" t="s">
        <v>27</v>
      </c>
      <c r="B24" s="42"/>
      <c r="C24" s="42"/>
      <c r="D24" s="42"/>
      <c r="J24" s="36">
        <v>0.60115999999999903</v>
      </c>
      <c r="K24" s="31">
        <v>5.147185403641517E-4</v>
      </c>
      <c r="L24" s="31">
        <v>1662.6969000000001</v>
      </c>
      <c r="M24" s="33">
        <v>1.6892795452369394E-2</v>
      </c>
    </row>
    <row r="25" spans="1:13" ht="51" x14ac:dyDescent="0.2">
      <c r="A25" s="12" t="s">
        <v>20</v>
      </c>
      <c r="B25" s="12" t="s">
        <v>21</v>
      </c>
      <c r="C25" s="12" t="s">
        <v>25</v>
      </c>
      <c r="D25" s="12" t="s">
        <v>26</v>
      </c>
      <c r="J25" s="37">
        <v>0.60143999999999997</v>
      </c>
      <c r="K25" s="31">
        <v>5.147185403641517E-4</v>
      </c>
      <c r="L25" s="31">
        <v>1310.5963800000002</v>
      </c>
      <c r="M25" s="33">
        <v>1.5004851252418554E-2</v>
      </c>
    </row>
    <row r="26" spans="1:13" ht="15.75" x14ac:dyDescent="0.2">
      <c r="A26" s="43" t="s">
        <v>22</v>
      </c>
      <c r="B26" s="16">
        <v>115</v>
      </c>
      <c r="C26" s="16">
        <v>10.5</v>
      </c>
      <c r="D26" s="16">
        <v>10.5</v>
      </c>
      <c r="J26" s="37">
        <v>0.60161600000000004</v>
      </c>
      <c r="K26" s="31">
        <v>5.147185403641517E-4</v>
      </c>
      <c r="L26" s="31">
        <v>1075.8627000000001</v>
      </c>
      <c r="M26" s="33">
        <v>1.35988664060776E-2</v>
      </c>
    </row>
    <row r="27" spans="1:13" ht="15.75" x14ac:dyDescent="0.2">
      <c r="A27" s="44"/>
      <c r="B27" s="13">
        <v>120</v>
      </c>
      <c r="C27" s="13">
        <v>14</v>
      </c>
      <c r="D27" s="13">
        <v>13.5</v>
      </c>
      <c r="J27" s="37">
        <v>0.60186200000000001</v>
      </c>
      <c r="K27" s="31">
        <v>5.147185403641517E-4</v>
      </c>
      <c r="L27" s="38">
        <v>821.56788000000006</v>
      </c>
      <c r="M27" s="33">
        <v>1.1888403966416864E-2</v>
      </c>
    </row>
    <row r="28" spans="1:13" ht="15.75" x14ac:dyDescent="0.2">
      <c r="A28" s="44"/>
      <c r="B28" s="13">
        <v>125</v>
      </c>
      <c r="C28" s="13">
        <v>17.5</v>
      </c>
      <c r="D28" s="13">
        <v>17</v>
      </c>
      <c r="J28" s="37">
        <v>0.60233599999999998</v>
      </c>
      <c r="K28" s="31">
        <v>5.147185403641517E-4</v>
      </c>
      <c r="L28" s="38">
        <v>616.17591000000004</v>
      </c>
      <c r="M28" s="33">
        <v>1.0303768253553129E-2</v>
      </c>
    </row>
    <row r="29" spans="1:13" ht="15.75" x14ac:dyDescent="0.2">
      <c r="A29" s="44"/>
      <c r="B29" s="13">
        <v>135</v>
      </c>
      <c r="C29" s="13">
        <v>19.5</v>
      </c>
      <c r="D29" s="13">
        <v>19</v>
      </c>
      <c r="J29" s="37">
        <v>0.60289999999999999</v>
      </c>
      <c r="K29" s="31">
        <v>5.147185403641517E-4</v>
      </c>
      <c r="L29" s="38">
        <v>420.56451000000004</v>
      </c>
      <c r="M29" s="37">
        <v>8.5205278163054867E-3</v>
      </c>
    </row>
    <row r="30" spans="1:13" ht="15.75" x14ac:dyDescent="0.2">
      <c r="A30" s="45"/>
      <c r="B30" s="14">
        <v>140</v>
      </c>
      <c r="C30" s="14">
        <v>19.5</v>
      </c>
      <c r="D30" s="14">
        <v>19</v>
      </c>
      <c r="J30" s="37">
        <v>0.60348000000000002</v>
      </c>
      <c r="K30" s="31">
        <v>5.147185403641517E-4</v>
      </c>
      <c r="L30" s="38">
        <v>312.97824000000003</v>
      </c>
      <c r="M30" s="37">
        <v>7.3574082974058102E-3</v>
      </c>
    </row>
    <row r="31" spans="1:13" ht="15.75" x14ac:dyDescent="0.2">
      <c r="A31" s="17" t="s">
        <v>23</v>
      </c>
      <c r="B31" s="15">
        <v>147</v>
      </c>
      <c r="C31" s="15">
        <v>20</v>
      </c>
      <c r="D31" s="15">
        <v>18.5</v>
      </c>
      <c r="J31" s="37">
        <v>0.60458000000000001</v>
      </c>
      <c r="K31" s="31">
        <v>5.147185403641517E-4</v>
      </c>
      <c r="L31" s="38">
        <v>200.50168500000001</v>
      </c>
      <c r="M31" s="37">
        <v>5.8995338009355854E-3</v>
      </c>
    </row>
    <row r="32" spans="1:13" ht="15.75" x14ac:dyDescent="0.2">
      <c r="A32" s="43" t="s">
        <v>24</v>
      </c>
      <c r="B32" s="16">
        <v>150</v>
      </c>
      <c r="C32" s="16">
        <v>20.5</v>
      </c>
      <c r="D32" s="16">
        <v>19.5</v>
      </c>
      <c r="J32" s="37">
        <v>0.60646999999999995</v>
      </c>
      <c r="K32" s="31">
        <v>5.147185403641517E-4</v>
      </c>
      <c r="L32" s="38">
        <v>107.58627000000001</v>
      </c>
      <c r="M32" s="37">
        <v>4.3350354389421128E-3</v>
      </c>
    </row>
    <row r="33" spans="1:25" ht="15.75" x14ac:dyDescent="0.2">
      <c r="A33" s="44"/>
      <c r="B33" s="13">
        <v>155</v>
      </c>
      <c r="C33" s="13">
        <v>20.5</v>
      </c>
      <c r="D33" s="13">
        <v>19.5</v>
      </c>
      <c r="J33" s="37">
        <v>0.60950000000000004</v>
      </c>
      <c r="K33" s="31">
        <v>5.147185403641517E-4</v>
      </c>
      <c r="L33" s="32">
        <v>48.902850000000001</v>
      </c>
      <c r="M33" s="37">
        <v>2.9372823731488086E-3</v>
      </c>
    </row>
    <row r="34" spans="1:25" ht="15.75" x14ac:dyDescent="0.2">
      <c r="A34" s="44"/>
      <c r="B34" s="13">
        <v>165</v>
      </c>
      <c r="C34" s="13">
        <v>22</v>
      </c>
      <c r="D34" s="13">
        <v>21</v>
      </c>
    </row>
    <row r="35" spans="1:25" ht="15.75" x14ac:dyDescent="0.2">
      <c r="A35" s="44"/>
      <c r="B35" s="13">
        <v>170</v>
      </c>
      <c r="C35" s="13">
        <v>20</v>
      </c>
      <c r="D35" s="13">
        <v>19</v>
      </c>
      <c r="J35" s="8" t="s">
        <v>105</v>
      </c>
    </row>
    <row r="36" spans="1:25" ht="15.75" x14ac:dyDescent="0.2">
      <c r="A36" s="45"/>
      <c r="B36" s="13">
        <v>180</v>
      </c>
      <c r="C36" s="13">
        <v>14</v>
      </c>
      <c r="D36" s="13">
        <v>13.5</v>
      </c>
      <c r="K36" t="s">
        <v>41</v>
      </c>
      <c r="L36" t="s">
        <v>96</v>
      </c>
      <c r="O36" t="s">
        <v>91</v>
      </c>
      <c r="P36" t="s">
        <v>95</v>
      </c>
      <c r="Q36" t="s">
        <v>97</v>
      </c>
      <c r="R36" t="s">
        <v>94</v>
      </c>
      <c r="S36" t="s">
        <v>100</v>
      </c>
      <c r="T36" t="s">
        <v>100</v>
      </c>
    </row>
    <row r="37" spans="1:25" x14ac:dyDescent="0.2">
      <c r="J37" t="s">
        <v>91</v>
      </c>
      <c r="K37" s="33">
        <v>3.8302298336539642E-2</v>
      </c>
      <c r="L37" s="33">
        <v>3.8302298336539642E-2</v>
      </c>
      <c r="N37" t="s">
        <v>41</v>
      </c>
      <c r="O37" s="33">
        <v>3.8302298336539642E-2</v>
      </c>
      <c r="P37" s="29">
        <v>1662.6969000000001</v>
      </c>
      <c r="Q37">
        <v>0.40616621983914214</v>
      </c>
      <c r="R37">
        <v>7.2106619983356324E-4</v>
      </c>
      <c r="S37" s="29">
        <v>0.95965779940048235</v>
      </c>
      <c r="T37">
        <v>0.99650000000000005</v>
      </c>
    </row>
    <row r="38" spans="1:25" x14ac:dyDescent="0.2">
      <c r="J38" t="s">
        <v>95</v>
      </c>
      <c r="K38" s="29">
        <v>1662.6969000000001</v>
      </c>
      <c r="L38" s="29">
        <v>3208.6200152400311</v>
      </c>
      <c r="N38" t="s">
        <v>96</v>
      </c>
      <c r="O38" s="33">
        <v>3.8302298336539642E-2</v>
      </c>
      <c r="P38" s="29">
        <v>3208.6200152400311</v>
      </c>
      <c r="Q38">
        <v>0.3431635388739947</v>
      </c>
      <c r="R38">
        <v>5.147185403641517E-4</v>
      </c>
      <c r="S38" s="29">
        <v>0.97438003710767163</v>
      </c>
      <c r="T38">
        <v>0.97731471248443691</v>
      </c>
    </row>
    <row r="39" spans="1:25" ht="26.1" customHeight="1" x14ac:dyDescent="0.2">
      <c r="A39" s="46" t="s">
        <v>49</v>
      </c>
      <c r="B39" s="46"/>
      <c r="C39" s="46"/>
      <c r="D39" s="46"/>
      <c r="J39" t="s">
        <v>97</v>
      </c>
      <c r="K39">
        <v>0.40616621983914214</v>
      </c>
      <c r="L39">
        <v>0.3431635388739947</v>
      </c>
    </row>
    <row r="40" spans="1:25" ht="51" x14ac:dyDescent="0.2">
      <c r="A40" s="12" t="s">
        <v>28</v>
      </c>
      <c r="B40" s="12" t="s">
        <v>29</v>
      </c>
      <c r="C40" s="12" t="s">
        <v>25</v>
      </c>
      <c r="D40" s="12" t="s">
        <v>26</v>
      </c>
      <c r="J40" t="s">
        <v>94</v>
      </c>
      <c r="K40">
        <v>7.2106619983356324E-4</v>
      </c>
      <c r="L40">
        <v>5.147185403641517E-4</v>
      </c>
    </row>
    <row r="41" spans="1:25" ht="15.75" x14ac:dyDescent="0.2">
      <c r="A41" s="43" t="s">
        <v>22</v>
      </c>
      <c r="B41" s="19">
        <v>-45</v>
      </c>
      <c r="C41" s="16">
        <v>5</v>
      </c>
      <c r="D41" s="16">
        <v>2</v>
      </c>
      <c r="J41" t="s">
        <v>100</v>
      </c>
      <c r="K41">
        <v>0.95965779940048235</v>
      </c>
      <c r="L41">
        <v>0.97438003710767163</v>
      </c>
    </row>
    <row r="42" spans="1:25" ht="15.75" x14ac:dyDescent="0.2">
      <c r="A42" s="44"/>
      <c r="B42" s="18">
        <v>-40</v>
      </c>
      <c r="C42" s="13">
        <v>10.5</v>
      </c>
      <c r="D42" s="13">
        <v>6</v>
      </c>
      <c r="J42" t="s">
        <v>100</v>
      </c>
      <c r="K42">
        <v>0.99650000000000005</v>
      </c>
      <c r="L42">
        <v>0.97731471248443691</v>
      </c>
    </row>
    <row r="43" spans="1:25" ht="15.75" x14ac:dyDescent="0.2">
      <c r="A43" s="44"/>
      <c r="B43" s="18">
        <v>-30</v>
      </c>
      <c r="C43" s="13">
        <v>17</v>
      </c>
      <c r="D43" s="13">
        <v>12</v>
      </c>
    </row>
    <row r="44" spans="1:25" ht="15.75" x14ac:dyDescent="0.2">
      <c r="A44" s="44"/>
      <c r="B44" s="18">
        <v>-20</v>
      </c>
      <c r="C44" s="13">
        <v>20</v>
      </c>
      <c r="D44" s="13">
        <v>17</v>
      </c>
    </row>
    <row r="45" spans="1:25" ht="15.75" x14ac:dyDescent="0.2">
      <c r="A45" s="45"/>
      <c r="B45" s="20">
        <v>-10</v>
      </c>
      <c r="C45" s="14">
        <v>20.5</v>
      </c>
      <c r="D45" s="14">
        <v>19.5</v>
      </c>
      <c r="J45" s="8" t="s">
        <v>106</v>
      </c>
    </row>
    <row r="46" spans="1:25" ht="15.75" x14ac:dyDescent="0.2">
      <c r="A46" s="17" t="s">
        <v>23</v>
      </c>
      <c r="B46" s="21">
        <v>0</v>
      </c>
      <c r="C46" s="15">
        <v>20</v>
      </c>
      <c r="D46" s="15">
        <v>19.5</v>
      </c>
      <c r="J46" s="40" t="s">
        <v>40</v>
      </c>
      <c r="K46" s="23"/>
      <c r="L46" s="23"/>
      <c r="M46" s="23"/>
      <c r="N46" s="40" t="s">
        <v>42</v>
      </c>
      <c r="O46" s="40" t="s">
        <v>41</v>
      </c>
      <c r="P46" s="40"/>
      <c r="Q46" s="23"/>
    </row>
    <row r="47" spans="1:25" ht="15.75" x14ac:dyDescent="0.2">
      <c r="A47" s="43" t="s">
        <v>24</v>
      </c>
      <c r="B47" s="19">
        <v>10</v>
      </c>
      <c r="C47" s="16">
        <v>20</v>
      </c>
      <c r="D47" s="16">
        <v>19</v>
      </c>
      <c r="J47" s="40"/>
      <c r="K47" s="23"/>
      <c r="L47" s="23"/>
      <c r="M47" s="23"/>
      <c r="N47" s="40"/>
      <c r="O47" s="41"/>
      <c r="P47" s="41"/>
      <c r="Q47" s="23"/>
    </row>
    <row r="48" spans="1:25" ht="39" x14ac:dyDescent="0.25">
      <c r="A48" s="44"/>
      <c r="B48" s="18">
        <v>20</v>
      </c>
      <c r="C48" s="13">
        <v>20</v>
      </c>
      <c r="D48" s="13">
        <v>17</v>
      </c>
      <c r="J48" s="41"/>
      <c r="K48" s="25" t="s">
        <v>48</v>
      </c>
      <c r="L48" s="25" t="s">
        <v>47</v>
      </c>
      <c r="M48" s="25" t="s">
        <v>46</v>
      </c>
      <c r="N48" s="41"/>
      <c r="O48" s="24" t="s">
        <v>43</v>
      </c>
      <c r="P48" s="24" t="s">
        <v>44</v>
      </c>
      <c r="Q48" s="24" t="s">
        <v>45</v>
      </c>
      <c r="R48" s="23" t="s">
        <v>69</v>
      </c>
      <c r="S48" s="23" t="s">
        <v>67</v>
      </c>
      <c r="T48" s="23" t="s">
        <v>68</v>
      </c>
      <c r="U48" s="23" t="s">
        <v>65</v>
      </c>
      <c r="V48" t="s">
        <v>89</v>
      </c>
      <c r="W48" s="23" t="s">
        <v>94</v>
      </c>
      <c r="X48" s="23" t="s">
        <v>93</v>
      </c>
      <c r="Y48" s="23" t="s">
        <v>91</v>
      </c>
    </row>
    <row r="49" spans="1:25" ht="15.75" x14ac:dyDescent="0.2">
      <c r="A49" s="44"/>
      <c r="B49" s="18">
        <v>30</v>
      </c>
      <c r="C49" s="13">
        <v>19</v>
      </c>
      <c r="D49" s="13">
        <v>15</v>
      </c>
      <c r="J49" s="13">
        <v>50</v>
      </c>
      <c r="K49" s="13">
        <v>5.0999999999999996</v>
      </c>
      <c r="L49" s="13">
        <v>9</v>
      </c>
      <c r="M49" s="13">
        <v>331</v>
      </c>
      <c r="N49" s="13">
        <v>11.5</v>
      </c>
      <c r="O49" s="13">
        <v>4.5</v>
      </c>
      <c r="P49" s="13">
        <v>43</v>
      </c>
      <c r="Q49" s="13">
        <v>22</v>
      </c>
      <c r="R49">
        <f>_xlfn.XLOOKUP(L49, $A$4:$A$21, $A$4:$A$21, "not found", -1, 1)</f>
        <v>9</v>
      </c>
      <c r="S49">
        <f>_xlfn.XLOOKUP(L49, $A$4:$A$21, $A$4:$A$21, "not found", 1, 1)</f>
        <v>9</v>
      </c>
      <c r="T49">
        <f>_xlfn.XLOOKUP(L49, $A$4:$A$21, $B$4:$B$21, "not found", -1, 1)</f>
        <v>0.60289999999999999</v>
      </c>
      <c r="U49" s="8">
        <f>_xlfn.XLOOKUP(L49, $A$4:$A$21, $B$4:$B$21, "not found", 1, 1)</f>
        <v>0.60289999999999999</v>
      </c>
      <c r="V49" s="28">
        <f>IFERROR(FORECAST(K49,T49:U49,R49:S49), U49)</f>
        <v>0.60289999999999999</v>
      </c>
      <c r="W49">
        <f t="shared" ref="W49" si="0">PI()/4*($B$76/1000)^2</f>
        <v>5.8534939719848437E-4</v>
      </c>
      <c r="X49">
        <f>L49/39.37*790*9.81</f>
        <v>1771.6306832613668</v>
      </c>
      <c r="Y49">
        <f>V49*W49*SQRT(2*X49/$K$5)</f>
        <v>1.9887589544148841E-2</v>
      </c>
    </row>
    <row r="50" spans="1:25" ht="15.75" x14ac:dyDescent="0.2">
      <c r="A50" s="44"/>
      <c r="B50" s="18">
        <v>40</v>
      </c>
      <c r="C50" s="13">
        <v>16</v>
      </c>
      <c r="D50" s="13">
        <v>10</v>
      </c>
    </row>
    <row r="51" spans="1:25" ht="15.75" x14ac:dyDescent="0.2">
      <c r="A51" s="45"/>
      <c r="B51" s="20">
        <v>45</v>
      </c>
      <c r="C51" s="14">
        <v>13.5</v>
      </c>
      <c r="D51" s="14">
        <v>6.5</v>
      </c>
      <c r="J51" s="8" t="s">
        <v>110</v>
      </c>
    </row>
    <row r="52" spans="1:25" x14ac:dyDescent="0.2">
      <c r="K52" s="8" t="s">
        <v>108</v>
      </c>
      <c r="L52" s="8" t="s">
        <v>112</v>
      </c>
      <c r="M52" s="8" t="s">
        <v>111</v>
      </c>
      <c r="N52" s="8"/>
    </row>
    <row r="53" spans="1:25" x14ac:dyDescent="0.2">
      <c r="K53">
        <v>0.01</v>
      </c>
      <c r="L53">
        <v>0.01</v>
      </c>
      <c r="M53">
        <f>SQRT(K53^2+L53^2)</f>
        <v>1.4142135623730951E-2</v>
      </c>
    </row>
    <row r="54" spans="1:25" ht="36.950000000000003" customHeight="1" x14ac:dyDescent="0.2">
      <c r="A54" s="46" t="s">
        <v>50</v>
      </c>
      <c r="B54" s="46"/>
    </row>
    <row r="55" spans="1:25" ht="39.75" x14ac:dyDescent="0.2">
      <c r="A55" s="12" t="s">
        <v>25</v>
      </c>
      <c r="B55" s="12" t="s">
        <v>30</v>
      </c>
      <c r="K55" s="8" t="s">
        <v>107</v>
      </c>
    </row>
    <row r="56" spans="1:25" ht="15.75" x14ac:dyDescent="0.2">
      <c r="A56" s="34">
        <v>24.5</v>
      </c>
      <c r="B56" s="18">
        <v>9.6</v>
      </c>
      <c r="K56" s="8" t="s">
        <v>108</v>
      </c>
      <c r="L56" s="8" t="s">
        <v>113</v>
      </c>
      <c r="M56" s="8" t="s">
        <v>100</v>
      </c>
      <c r="N56" s="8" t="s">
        <v>116</v>
      </c>
    </row>
    <row r="57" spans="1:25" ht="15.75" x14ac:dyDescent="0.2">
      <c r="A57" s="34">
        <v>20</v>
      </c>
      <c r="B57" s="18">
        <v>9.1</v>
      </c>
      <c r="J57" s="8" t="s">
        <v>109</v>
      </c>
      <c r="K57">
        <v>0.02</v>
      </c>
      <c r="L57">
        <f>M53</f>
        <v>1.4142135623730951E-2</v>
      </c>
      <c r="M57">
        <f>0.5/100</f>
        <v>5.0000000000000001E-3</v>
      </c>
      <c r="N57" s="30">
        <f>SQRT(M57^2 + (1/2*K57)^2 + (1/2*L57)^2)</f>
        <v>1.3228756555322952E-2</v>
      </c>
    </row>
    <row r="58" spans="1:25" ht="15.75" x14ac:dyDescent="0.2">
      <c r="A58" s="34">
        <v>17</v>
      </c>
      <c r="B58" s="18">
        <v>8.4</v>
      </c>
      <c r="J58" s="8" t="s">
        <v>114</v>
      </c>
      <c r="K58">
        <v>0.02</v>
      </c>
      <c r="L58">
        <f>M53</f>
        <v>1.4142135623730951E-2</v>
      </c>
      <c r="M58" s="8">
        <v>0.02</v>
      </c>
      <c r="N58" s="30">
        <f t="shared" ref="N58:N59" si="1">SQRT(M58^2 + (1/2*K58)^2 + (1/2*L58)^2)</f>
        <v>2.3452078799117149E-2</v>
      </c>
    </row>
    <row r="59" spans="1:25" ht="15.75" x14ac:dyDescent="0.2">
      <c r="A59" s="34">
        <v>13</v>
      </c>
      <c r="B59" s="18">
        <v>7.3</v>
      </c>
      <c r="J59" s="8" t="s">
        <v>117</v>
      </c>
      <c r="K59">
        <v>0.02</v>
      </c>
      <c r="L59">
        <f>M53</f>
        <v>1.4142135623730951E-2</v>
      </c>
      <c r="M59">
        <v>0.01</v>
      </c>
      <c r="N59" s="30">
        <f t="shared" si="1"/>
        <v>1.5811388300841896E-2</v>
      </c>
    </row>
    <row r="60" spans="1:25" ht="15.75" x14ac:dyDescent="0.2">
      <c r="A60" s="34">
        <v>10</v>
      </c>
      <c r="B60" s="18">
        <v>6.6</v>
      </c>
    </row>
    <row r="61" spans="1:25" ht="15.75" x14ac:dyDescent="0.2">
      <c r="A61" s="34">
        <v>9</v>
      </c>
      <c r="B61" s="18">
        <v>6.4</v>
      </c>
      <c r="J61" s="8" t="s">
        <v>118</v>
      </c>
    </row>
    <row r="62" spans="1:25" ht="15.75" x14ac:dyDescent="0.2">
      <c r="A62" s="34">
        <v>6.5</v>
      </c>
      <c r="B62" s="18">
        <v>5.5</v>
      </c>
      <c r="J62" s="39" cm="1">
        <f t="array" ref="J62:K66">LINEST(D82:D91,P82:P91, TRUE, TRUE)</f>
        <v>16623.06994608137</v>
      </c>
      <c r="K62">
        <v>1.4258170908250918</v>
      </c>
    </row>
    <row r="63" spans="1:25" ht="15.75" x14ac:dyDescent="0.2">
      <c r="A63" s="34">
        <v>4.5</v>
      </c>
      <c r="B63" s="18">
        <v>4.9000000000000004</v>
      </c>
      <c r="J63">
        <v>50.470620773630749</v>
      </c>
      <c r="K63">
        <v>1.2268398569714394</v>
      </c>
    </row>
    <row r="64" spans="1:25" ht="15.75" x14ac:dyDescent="0.2">
      <c r="A64" s="34">
        <v>2</v>
      </c>
      <c r="B64" s="18">
        <v>3.8</v>
      </c>
      <c r="J64">
        <v>0.99992625836058602</v>
      </c>
      <c r="K64">
        <v>1.6234542706398083</v>
      </c>
    </row>
    <row r="65" spans="1:17" ht="15.75" x14ac:dyDescent="0.2">
      <c r="A65" s="35">
        <v>1</v>
      </c>
      <c r="B65" s="20">
        <v>3.6</v>
      </c>
      <c r="J65">
        <v>108478.87476411654</v>
      </c>
      <c r="K65">
        <v>8</v>
      </c>
    </row>
    <row r="66" spans="1:17" x14ac:dyDescent="0.2">
      <c r="J66">
        <v>285907.33116984909</v>
      </c>
      <c r="K66">
        <v>21.084830150869056</v>
      </c>
    </row>
    <row r="68" spans="1:17" x14ac:dyDescent="0.2">
      <c r="A68" s="42" t="s">
        <v>51</v>
      </c>
      <c r="B68" s="42"/>
      <c r="C68" s="42"/>
      <c r="D68" s="42"/>
      <c r="E68" s="42"/>
    </row>
    <row r="69" spans="1:17" ht="38.25" x14ac:dyDescent="0.2">
      <c r="A69" s="12" t="s">
        <v>31</v>
      </c>
      <c r="B69" s="12" t="s">
        <v>34</v>
      </c>
      <c r="C69" s="12" t="s">
        <v>32</v>
      </c>
      <c r="D69" s="12" t="s">
        <v>33</v>
      </c>
      <c r="E69" s="12" t="s">
        <v>35</v>
      </c>
      <c r="I69" s="8" t="s">
        <v>64</v>
      </c>
      <c r="N69" s="8" t="s">
        <v>64</v>
      </c>
    </row>
    <row r="70" spans="1:17" ht="15.75" x14ac:dyDescent="0.2">
      <c r="A70" s="15">
        <v>711</v>
      </c>
      <c r="B70" s="15">
        <v>22</v>
      </c>
      <c r="C70" s="15">
        <f>2.55</f>
        <v>2.5499999999999998</v>
      </c>
      <c r="D70" s="15">
        <f>L70</f>
        <v>0.48049999999999998</v>
      </c>
      <c r="E70" s="22">
        <f>A70-C70+D70</f>
        <v>708.93050000000005</v>
      </c>
      <c r="I70" s="8" t="s">
        <v>65</v>
      </c>
      <c r="J70">
        <f>0.42+0.065</f>
        <v>0.48499999999999999</v>
      </c>
      <c r="L70">
        <f>(J70-J72)/(J71-J73)*(J74-J73)+J72</f>
        <v>0.48049999999999998</v>
      </c>
      <c r="N70" s="8" t="s">
        <v>65</v>
      </c>
      <c r="O70">
        <f>0.42+0.065</f>
        <v>0.48499999999999999</v>
      </c>
      <c r="Q70">
        <f>(O70-O72)/(O71-O73)*(O74-O73)+O72</f>
        <v>0.48049999999999998</v>
      </c>
    </row>
    <row r="71" spans="1:17" x14ac:dyDescent="0.2">
      <c r="A71" s="8" t="s">
        <v>36</v>
      </c>
      <c r="I71" s="8" t="s">
        <v>67</v>
      </c>
      <c r="J71">
        <v>720</v>
      </c>
      <c r="N71" s="8" t="s">
        <v>67</v>
      </c>
      <c r="O71">
        <v>720</v>
      </c>
    </row>
    <row r="72" spans="1:17" x14ac:dyDescent="0.2">
      <c r="I72" s="8" t="s">
        <v>68</v>
      </c>
      <c r="J72">
        <f>0.065+0.41</f>
        <v>0.47499999999999998</v>
      </c>
      <c r="N72" s="8" t="s">
        <v>68</v>
      </c>
      <c r="O72">
        <f>0.065+0.41</f>
        <v>0.47499999999999998</v>
      </c>
    </row>
    <row r="73" spans="1:17" x14ac:dyDescent="0.2">
      <c r="I73" s="8" t="s">
        <v>69</v>
      </c>
      <c r="J73">
        <v>700</v>
      </c>
      <c r="N73" s="8" t="s">
        <v>69</v>
      </c>
      <c r="O73">
        <v>700</v>
      </c>
    </row>
    <row r="74" spans="1:17" ht="20.100000000000001" customHeight="1" x14ac:dyDescent="0.2">
      <c r="A74" s="42" t="s">
        <v>52</v>
      </c>
      <c r="B74" s="42"/>
      <c r="C74" s="42"/>
      <c r="I74" s="8" t="s">
        <v>66</v>
      </c>
      <c r="J74">
        <v>711</v>
      </c>
      <c r="N74" s="8" t="s">
        <v>66</v>
      </c>
      <c r="O74">
        <v>711</v>
      </c>
    </row>
    <row r="75" spans="1:17" ht="25.5" x14ac:dyDescent="0.2">
      <c r="A75" s="12" t="s">
        <v>37</v>
      </c>
      <c r="B75" s="12" t="s">
        <v>38</v>
      </c>
      <c r="C75" s="12" t="s">
        <v>39</v>
      </c>
      <c r="D75" s="9" t="s">
        <v>104</v>
      </c>
    </row>
    <row r="76" spans="1:17" ht="15.75" x14ac:dyDescent="0.2">
      <c r="A76" s="15">
        <v>25.6</v>
      </c>
      <c r="B76" s="15">
        <v>27.3</v>
      </c>
      <c r="C76" s="15">
        <v>30.3</v>
      </c>
      <c r="D76">
        <v>74.599999999999994</v>
      </c>
      <c r="I76">
        <v>700</v>
      </c>
      <c r="J76">
        <f>(0.54-0.41)/2</f>
        <v>6.500000000000003E-2</v>
      </c>
      <c r="N76">
        <v>700</v>
      </c>
      <c r="O76">
        <f>(0.54-0.41)/2</f>
        <v>6.500000000000003E-2</v>
      </c>
    </row>
    <row r="77" spans="1:17" x14ac:dyDescent="0.2">
      <c r="I77">
        <v>720</v>
      </c>
      <c r="J77">
        <f>(0.55-0.42)/2</f>
        <v>6.500000000000003E-2</v>
      </c>
      <c r="N77">
        <v>720</v>
      </c>
      <c r="O77">
        <f>(0.55-0.42)/2</f>
        <v>6.500000000000003E-2</v>
      </c>
    </row>
    <row r="78" spans="1:17" x14ac:dyDescent="0.2">
      <c r="A78" s="42" t="s">
        <v>53</v>
      </c>
      <c r="B78" s="42"/>
      <c r="C78" s="42"/>
      <c r="D78" s="42"/>
      <c r="E78" s="42"/>
      <c r="F78" s="42"/>
      <c r="G78" s="42"/>
      <c r="H78" s="42"/>
    </row>
    <row r="79" spans="1:17" x14ac:dyDescent="0.2">
      <c r="A79" s="40" t="s">
        <v>40</v>
      </c>
      <c r="B79" s="23"/>
      <c r="C79" s="23"/>
      <c r="D79" s="23"/>
      <c r="E79" s="40" t="s">
        <v>42</v>
      </c>
      <c r="F79" s="40" t="s">
        <v>41</v>
      </c>
      <c r="G79" s="40"/>
      <c r="H79" s="23"/>
    </row>
    <row r="80" spans="1:17" x14ac:dyDescent="0.2">
      <c r="A80" s="40"/>
      <c r="B80" s="23"/>
      <c r="C80" s="23"/>
      <c r="D80" s="23"/>
      <c r="E80" s="40"/>
      <c r="F80" s="41"/>
      <c r="G80" s="41"/>
      <c r="H80" s="23"/>
    </row>
    <row r="81" spans="1:17" ht="39" x14ac:dyDescent="0.25">
      <c r="A81" s="41"/>
      <c r="B81" s="25" t="s">
        <v>48</v>
      </c>
      <c r="C81" s="25" t="s">
        <v>47</v>
      </c>
      <c r="D81" s="25" t="s">
        <v>46</v>
      </c>
      <c r="E81" s="41"/>
      <c r="F81" s="24" t="s">
        <v>43</v>
      </c>
      <c r="G81" s="24" t="s">
        <v>44</v>
      </c>
      <c r="H81" s="24" t="s">
        <v>45</v>
      </c>
      <c r="I81" s="23" t="s">
        <v>69</v>
      </c>
      <c r="J81" s="23" t="s">
        <v>67</v>
      </c>
      <c r="K81" s="23" t="s">
        <v>68</v>
      </c>
      <c r="L81" s="23" t="s">
        <v>65</v>
      </c>
      <c r="M81" t="s">
        <v>89</v>
      </c>
      <c r="N81" s="23" t="s">
        <v>94</v>
      </c>
      <c r="O81" s="23" t="s">
        <v>93</v>
      </c>
      <c r="P81" s="23" t="s">
        <v>91</v>
      </c>
      <c r="Q81">
        <f>1/39.37*790*9.81</f>
        <v>196.84785369570744</v>
      </c>
    </row>
    <row r="82" spans="1:17" ht="15.75" x14ac:dyDescent="0.2">
      <c r="A82" s="13">
        <v>94</v>
      </c>
      <c r="B82" s="13">
        <v>16.3</v>
      </c>
      <c r="C82" s="13">
        <v>33.5</v>
      </c>
      <c r="D82" s="13">
        <v>639.9</v>
      </c>
      <c r="E82" s="13">
        <v>37</v>
      </c>
      <c r="F82" s="13">
        <v>170</v>
      </c>
      <c r="G82" s="13">
        <v>170</v>
      </c>
      <c r="H82" s="13">
        <v>22</v>
      </c>
      <c r="I82">
        <f>_xlfn.XLOOKUP(C82, $A$4:$A$21, $A$4:$A$21, "not found", -1, 1)</f>
        <v>30</v>
      </c>
      <c r="J82">
        <f>_xlfn.XLOOKUP(C82, $A$4:$A$21, $A$4:$A$21, "not found", 1, 1)</f>
        <v>35</v>
      </c>
      <c r="K82">
        <f>_xlfn.XLOOKUP(C82, $A$4:$A$21, $B$4:$B$21, "not found", -1, 1)</f>
        <v>0.60129999999999995</v>
      </c>
      <c r="L82" s="8">
        <f>_xlfn.XLOOKUP(C82, $A$4:$A$21, $B$4:$B$21, "not found", 1, 1)</f>
        <v>0.60109999999999997</v>
      </c>
      <c r="M82" s="28">
        <f t="shared" ref="M82:M91" si="2">IFERROR(FORECAST(B82,K82:L82,I82:J82), L82)</f>
        <v>0.60184799999999994</v>
      </c>
      <c r="N82">
        <f>PI()/4*($B$76/1000)^2</f>
        <v>5.8534939719848437E-4</v>
      </c>
      <c r="O82">
        <f>C82/39.37*790*9.81</f>
        <v>6594.4030988061986</v>
      </c>
      <c r="P82">
        <f t="shared" ref="P82:P91" si="3">M82*N82*SQRT(2*O82/$K$5)</f>
        <v>3.8302298336539642E-2</v>
      </c>
    </row>
    <row r="83" spans="1:17" ht="15.75" x14ac:dyDescent="0.2">
      <c r="A83" s="13">
        <v>85</v>
      </c>
      <c r="B83">
        <v>13.1</v>
      </c>
      <c r="C83" s="13">
        <v>26.5</v>
      </c>
      <c r="D83" s="13">
        <v>569.9</v>
      </c>
      <c r="E83" s="13">
        <v>30</v>
      </c>
      <c r="F83" s="13">
        <v>13.5</v>
      </c>
      <c r="G83" s="13">
        <v>134</v>
      </c>
      <c r="H83" s="13">
        <v>22</v>
      </c>
      <c r="I83">
        <f t="shared" ref="I83:I91" si="4">_xlfn.XLOOKUP(C83, $A$4:$A$21, $A$4:$A$21, "not found", -1, 1)</f>
        <v>25</v>
      </c>
      <c r="J83">
        <f t="shared" ref="J83:J91" si="5">_xlfn.XLOOKUP(C83, $A$4:$A$21, $A$4:$A$21, "not found", 1, 1)</f>
        <v>30</v>
      </c>
      <c r="K83">
        <f t="shared" ref="K83:K91" si="6">_xlfn.XLOOKUP(C83, $A$4:$A$21, $B$4:$B$21, "not found", -1, 1)</f>
        <v>0.60150000000000003</v>
      </c>
      <c r="L83" s="8">
        <f t="shared" ref="L83:L91" si="7">_xlfn.XLOOKUP(C83, $A$4:$A$21, $B$4:$B$21, "not found", 1, 1)</f>
        <v>0.60129999999999995</v>
      </c>
      <c r="M83" s="28">
        <f t="shared" si="2"/>
        <v>0.60197600000000029</v>
      </c>
      <c r="N83">
        <f t="shared" ref="N83:N91" si="8">PI()/4*($B$76/1000)^2</f>
        <v>5.8534939719848437E-4</v>
      </c>
      <c r="O83">
        <f t="shared" ref="O83:O91" si="9">C83/39.37*790*9.81</f>
        <v>5216.4681229362459</v>
      </c>
      <c r="P83">
        <f t="shared" si="3"/>
        <v>3.4073576660497186E-2</v>
      </c>
    </row>
    <row r="84" spans="1:17" ht="15.75" x14ac:dyDescent="0.2">
      <c r="A84" s="13">
        <v>77</v>
      </c>
      <c r="B84" s="13">
        <v>10.9</v>
      </c>
      <c r="C84" s="13">
        <v>22.1</v>
      </c>
      <c r="D84" s="13">
        <v>517</v>
      </c>
      <c r="E84" s="13">
        <v>25.5</v>
      </c>
      <c r="F84" s="13">
        <v>11</v>
      </c>
      <c r="G84" s="13">
        <v>110</v>
      </c>
      <c r="H84" s="13">
        <v>22</v>
      </c>
      <c r="I84">
        <f t="shared" si="4"/>
        <v>20</v>
      </c>
      <c r="J84">
        <f t="shared" si="5"/>
        <v>25</v>
      </c>
      <c r="K84">
        <f t="shared" si="6"/>
        <v>0.60170000000000001</v>
      </c>
      <c r="L84" s="8">
        <f t="shared" si="7"/>
        <v>0.60150000000000003</v>
      </c>
      <c r="M84" s="28">
        <f t="shared" si="2"/>
        <v>0.60206399999999993</v>
      </c>
      <c r="N84">
        <f t="shared" si="8"/>
        <v>5.8534939719848437E-4</v>
      </c>
      <c r="O84">
        <f t="shared" si="9"/>
        <v>4350.3375666751344</v>
      </c>
      <c r="P84">
        <f t="shared" si="3"/>
        <v>3.112106179910902E-2</v>
      </c>
    </row>
    <row r="85" spans="1:17" ht="15.75" x14ac:dyDescent="0.2">
      <c r="A85" s="13">
        <v>69</v>
      </c>
      <c r="B85" s="13">
        <v>9.1</v>
      </c>
      <c r="C85" s="13">
        <v>17.3</v>
      </c>
      <c r="D85" s="13">
        <v>458</v>
      </c>
      <c r="E85" s="13">
        <v>20</v>
      </c>
      <c r="F85" s="13">
        <v>8.5</v>
      </c>
      <c r="G85" s="13">
        <v>84</v>
      </c>
      <c r="H85" s="13">
        <v>22</v>
      </c>
      <c r="I85">
        <f t="shared" si="4"/>
        <v>15</v>
      </c>
      <c r="J85">
        <f t="shared" si="5"/>
        <v>20</v>
      </c>
      <c r="K85">
        <f t="shared" si="6"/>
        <v>0.60199999999999998</v>
      </c>
      <c r="L85" s="8">
        <f t="shared" si="7"/>
        <v>0.60170000000000001</v>
      </c>
      <c r="M85" s="28">
        <f t="shared" si="2"/>
        <v>0.60235399999999995</v>
      </c>
      <c r="N85">
        <f t="shared" si="8"/>
        <v>5.8534939719848437E-4</v>
      </c>
      <c r="O85">
        <f t="shared" si="9"/>
        <v>3405.4678689357388</v>
      </c>
      <c r="P85">
        <f t="shared" si="3"/>
        <v>2.7548024447267158E-2</v>
      </c>
    </row>
    <row r="86" spans="1:17" ht="15.75" x14ac:dyDescent="0.2">
      <c r="A86" s="13">
        <v>60</v>
      </c>
      <c r="B86" s="13">
        <v>6.6</v>
      </c>
      <c r="C86" s="13">
        <v>12.9</v>
      </c>
      <c r="D86" s="13">
        <v>396</v>
      </c>
      <c r="E86" s="13">
        <v>15</v>
      </c>
      <c r="F86" s="13">
        <v>6.5</v>
      </c>
      <c r="G86" s="13">
        <v>63</v>
      </c>
      <c r="H86" s="13">
        <v>22</v>
      </c>
      <c r="I86">
        <f t="shared" si="4"/>
        <v>10</v>
      </c>
      <c r="J86">
        <f t="shared" si="5"/>
        <v>15</v>
      </c>
      <c r="K86">
        <f t="shared" si="6"/>
        <v>0.6028</v>
      </c>
      <c r="L86" s="8">
        <f t="shared" si="7"/>
        <v>0.60199999999999998</v>
      </c>
      <c r="M86" s="28">
        <f t="shared" si="2"/>
        <v>0.60334399999999999</v>
      </c>
      <c r="N86">
        <f t="shared" si="8"/>
        <v>5.8534939719848437E-4</v>
      </c>
      <c r="O86">
        <f t="shared" si="9"/>
        <v>2539.337312674626</v>
      </c>
      <c r="P86">
        <f t="shared" si="3"/>
        <v>2.3827334563195642E-2</v>
      </c>
    </row>
    <row r="87" spans="1:17" ht="15.75" x14ac:dyDescent="0.2">
      <c r="A87" s="13">
        <v>50</v>
      </c>
      <c r="B87" s="13">
        <v>5.0999999999999996</v>
      </c>
      <c r="C87" s="13">
        <v>9</v>
      </c>
      <c r="D87" s="13">
        <v>331</v>
      </c>
      <c r="E87" s="13">
        <v>11.5</v>
      </c>
      <c r="F87" s="13">
        <v>4.5</v>
      </c>
      <c r="G87" s="13">
        <v>43</v>
      </c>
      <c r="H87" s="13">
        <v>22</v>
      </c>
      <c r="I87">
        <f t="shared" si="4"/>
        <v>9</v>
      </c>
      <c r="J87">
        <f t="shared" si="5"/>
        <v>9</v>
      </c>
      <c r="K87">
        <f t="shared" si="6"/>
        <v>0.60289999999999999</v>
      </c>
      <c r="L87" s="8">
        <f t="shared" si="7"/>
        <v>0.60289999999999999</v>
      </c>
      <c r="M87" s="28">
        <f t="shared" si="2"/>
        <v>0.60289999999999999</v>
      </c>
      <c r="N87">
        <f t="shared" si="8"/>
        <v>5.8534939719848437E-4</v>
      </c>
      <c r="O87">
        <f t="shared" si="9"/>
        <v>1771.6306832613668</v>
      </c>
      <c r="P87">
        <f t="shared" si="3"/>
        <v>1.9887589544148841E-2</v>
      </c>
    </row>
    <row r="88" spans="1:17" ht="15.75" x14ac:dyDescent="0.2">
      <c r="A88" s="13">
        <v>42</v>
      </c>
      <c r="B88" s="13">
        <v>3.3</v>
      </c>
      <c r="C88" s="13">
        <v>6.4</v>
      </c>
      <c r="D88" s="13">
        <v>281</v>
      </c>
      <c r="E88" s="13">
        <v>9</v>
      </c>
      <c r="F88" s="13">
        <v>3.2</v>
      </c>
      <c r="G88" s="13">
        <v>32</v>
      </c>
      <c r="H88" s="13">
        <v>22</v>
      </c>
      <c r="I88">
        <f t="shared" si="4"/>
        <v>6</v>
      </c>
      <c r="J88">
        <f t="shared" si="5"/>
        <v>7</v>
      </c>
      <c r="K88">
        <f t="shared" si="6"/>
        <v>0.60360000000000003</v>
      </c>
      <c r="L88" s="8">
        <f t="shared" si="7"/>
        <v>0.60329999999999995</v>
      </c>
      <c r="M88" s="28">
        <f t="shared" si="2"/>
        <v>0.60441000000000034</v>
      </c>
      <c r="N88">
        <f t="shared" si="8"/>
        <v>5.8534939719848437E-4</v>
      </c>
      <c r="O88">
        <f t="shared" si="9"/>
        <v>1259.8262636525278</v>
      </c>
      <c r="P88">
        <f t="shared" si="3"/>
        <v>1.6812691250692614E-2</v>
      </c>
    </row>
    <row r="89" spans="1:17" ht="15.75" x14ac:dyDescent="0.2">
      <c r="A89" s="13">
        <v>33</v>
      </c>
      <c r="B89" s="13">
        <v>2.1</v>
      </c>
      <c r="C89" s="13">
        <v>3.9</v>
      </c>
      <c r="D89" s="13">
        <v>220</v>
      </c>
      <c r="E89" s="13">
        <v>6.5</v>
      </c>
      <c r="F89" s="13">
        <v>2</v>
      </c>
      <c r="G89" s="13">
        <v>20.5</v>
      </c>
      <c r="H89" s="13">
        <v>22</v>
      </c>
      <c r="I89">
        <f t="shared" si="4"/>
        <v>3</v>
      </c>
      <c r="J89">
        <f t="shared" si="5"/>
        <v>4</v>
      </c>
      <c r="K89">
        <f t="shared" si="6"/>
        <v>0.60529999999999995</v>
      </c>
      <c r="L89" s="8">
        <f t="shared" si="7"/>
        <v>0.60450000000000004</v>
      </c>
      <c r="M89" s="28">
        <f t="shared" si="2"/>
        <v>0.60601999999999989</v>
      </c>
      <c r="N89">
        <f t="shared" si="8"/>
        <v>5.8534939719848437E-4</v>
      </c>
      <c r="O89">
        <f t="shared" si="9"/>
        <v>767.70662941325895</v>
      </c>
      <c r="P89">
        <f t="shared" si="3"/>
        <v>1.3159363091418302E-2</v>
      </c>
    </row>
    <row r="90" spans="1:17" ht="15.75" x14ac:dyDescent="0.2">
      <c r="A90" s="13">
        <v>24</v>
      </c>
      <c r="B90" s="13">
        <v>1.1000000000000001</v>
      </c>
      <c r="C90" s="13">
        <v>2.1</v>
      </c>
      <c r="D90" s="13">
        <v>162</v>
      </c>
      <c r="E90" s="13">
        <v>4.5</v>
      </c>
      <c r="F90" s="13">
        <v>1</v>
      </c>
      <c r="G90" s="13">
        <v>11</v>
      </c>
      <c r="H90" s="13">
        <v>22</v>
      </c>
      <c r="I90">
        <f t="shared" si="4"/>
        <v>2</v>
      </c>
      <c r="J90">
        <f t="shared" si="5"/>
        <v>3</v>
      </c>
      <c r="K90">
        <f t="shared" si="6"/>
        <v>0.60660000000000003</v>
      </c>
      <c r="L90" s="8">
        <f t="shared" si="7"/>
        <v>0.60529999999999995</v>
      </c>
      <c r="M90" s="28">
        <f t="shared" si="2"/>
        <v>0.60777000000000014</v>
      </c>
      <c r="N90">
        <f t="shared" si="8"/>
        <v>5.8534939719848437E-4</v>
      </c>
      <c r="O90">
        <f t="shared" si="9"/>
        <v>413.38049276098553</v>
      </c>
      <c r="P90">
        <f t="shared" si="3"/>
        <v>9.6842170812658085E-3</v>
      </c>
    </row>
    <row r="91" spans="1:17" ht="15.75" x14ac:dyDescent="0.2">
      <c r="A91" s="14">
        <v>16</v>
      </c>
      <c r="B91" s="14">
        <v>0.5</v>
      </c>
      <c r="C91" s="14">
        <v>0.9</v>
      </c>
      <c r="D91" s="14">
        <v>109.4</v>
      </c>
      <c r="E91" s="14">
        <v>3</v>
      </c>
      <c r="F91" s="14">
        <v>0.5</v>
      </c>
      <c r="G91" s="14">
        <v>5</v>
      </c>
      <c r="H91" s="13">
        <v>22</v>
      </c>
      <c r="I91" t="str">
        <f t="shared" si="4"/>
        <v>not found</v>
      </c>
      <c r="J91">
        <f t="shared" si="5"/>
        <v>1</v>
      </c>
      <c r="K91" t="str">
        <f t="shared" si="6"/>
        <v>not found</v>
      </c>
      <c r="L91" s="8">
        <f t="shared" si="7"/>
        <v>0.60950000000000004</v>
      </c>
      <c r="M91" s="28">
        <f t="shared" si="2"/>
        <v>0.60950000000000004</v>
      </c>
      <c r="N91">
        <f t="shared" si="8"/>
        <v>5.8534939719848437E-4</v>
      </c>
      <c r="O91">
        <f t="shared" si="9"/>
        <v>177.16306832613671</v>
      </c>
      <c r="P91">
        <f t="shared" si="3"/>
        <v>6.3578543438831724E-3</v>
      </c>
    </row>
    <row r="94" spans="1:17" ht="16.5" x14ac:dyDescent="0.2">
      <c r="A94" s="8"/>
      <c r="C94" s="8" t="s">
        <v>91</v>
      </c>
      <c r="D94" s="8" t="s">
        <v>95</v>
      </c>
      <c r="E94" s="8" t="s">
        <v>98</v>
      </c>
      <c r="F94" s="8" t="s">
        <v>99</v>
      </c>
      <c r="G94" s="8" t="s">
        <v>97</v>
      </c>
      <c r="H94" s="8" t="s">
        <v>94</v>
      </c>
      <c r="I94" s="8" t="s">
        <v>100</v>
      </c>
      <c r="J94" s="27" t="s">
        <v>100</v>
      </c>
      <c r="L94" s="8"/>
    </row>
    <row r="95" spans="1:17" x14ac:dyDescent="0.2">
      <c r="B95" s="8" t="s">
        <v>41</v>
      </c>
      <c r="C95" s="33">
        <f>P82</f>
        <v>3.8302298336539642E-2</v>
      </c>
      <c r="D95" s="30">
        <f>G82*9.81*997*0.001</f>
        <v>1662.6969000000001</v>
      </c>
      <c r="E95">
        <f>C76</f>
        <v>30.3</v>
      </c>
      <c r="F95">
        <f>D76</f>
        <v>74.599999999999994</v>
      </c>
      <c r="G95">
        <f>E95/F95</f>
        <v>0.40616621983914214</v>
      </c>
      <c r="H95">
        <f>PI()/4*(E95/1000)^2</f>
        <v>7.2106619983356324E-4</v>
      </c>
      <c r="I95">
        <f>C95*SQRT(1-G95^4)/H95*SQRT($K$5/(2*D95))</f>
        <v>0.95965779940048235</v>
      </c>
      <c r="J95">
        <f>0.9965</f>
        <v>0.99650000000000005</v>
      </c>
      <c r="L95" s="8"/>
    </row>
    <row r="96" spans="1:17" x14ac:dyDescent="0.2">
      <c r="B96" s="8" t="s">
        <v>96</v>
      </c>
      <c r="C96" s="33">
        <f>P82</f>
        <v>3.8302298336539642E-2</v>
      </c>
      <c r="D96">
        <f>B82/39.37*790*9.81</f>
        <v>3208.6200152400311</v>
      </c>
      <c r="E96">
        <f>A76</f>
        <v>25.6</v>
      </c>
      <c r="F96">
        <f>D76</f>
        <v>74.599999999999994</v>
      </c>
      <c r="G96">
        <f>E96/F96</f>
        <v>0.3431635388739947</v>
      </c>
      <c r="H96">
        <f>PI()/4*(E96/1000)^2</f>
        <v>5.147185403641517E-4</v>
      </c>
      <c r="I96">
        <f>C96*SQRT(1-G96^4)/H96*SQRT($K$5/(2*D96))</f>
        <v>0.97438003710767163</v>
      </c>
      <c r="J96" s="33">
        <f>0.9965-6.53*SQRT(G96/L99)</f>
        <v>0.97731471248443691</v>
      </c>
    </row>
    <row r="97" spans="11:12" x14ac:dyDescent="0.2">
      <c r="K97" s="8" t="s">
        <v>103</v>
      </c>
      <c r="L97" s="31">
        <f>0.0000018347*10</f>
        <v>1.8346999999999999E-5</v>
      </c>
    </row>
    <row r="98" spans="11:12" x14ac:dyDescent="0.2">
      <c r="K98" s="8" t="s">
        <v>102</v>
      </c>
      <c r="L98">
        <f>C96/(PI()/4*(D76/1000)^2)</f>
        <v>8.7630905304296931</v>
      </c>
    </row>
    <row r="99" spans="11:12" x14ac:dyDescent="0.2">
      <c r="K99" s="8" t="s">
        <v>101</v>
      </c>
      <c r="L99" s="30">
        <f>L98*$K$5*D76/1000/L97</f>
        <v>39754.919311494705</v>
      </c>
    </row>
  </sheetData>
  <mergeCells count="16">
    <mergeCell ref="A26:A30"/>
    <mergeCell ref="A32:A36"/>
    <mergeCell ref="A24:D24"/>
    <mergeCell ref="A41:A45"/>
    <mergeCell ref="A47:A51"/>
    <mergeCell ref="A39:D39"/>
    <mergeCell ref="J46:J48"/>
    <mergeCell ref="N46:N48"/>
    <mergeCell ref="O46:P47"/>
    <mergeCell ref="F79:G80"/>
    <mergeCell ref="A78:H78"/>
    <mergeCell ref="A54:B54"/>
    <mergeCell ref="A68:E68"/>
    <mergeCell ref="A74:C74"/>
    <mergeCell ref="A79:A81"/>
    <mergeCell ref="E79:E81"/>
  </mergeCells>
  <hyperlinks>
    <hyperlink ref="L8" r:id="rId1" display="https://physics.stackexchange.com/questions/8331/how-is-formula-for-converting-pressure-from-mmhg-to-pa-derived" xr:uid="{634224BC-C97E-41AA-AC8D-5A2B6300FB6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Student Info and Rubric</vt:lpstr>
      <vt:lpstr>Data</vt:lpstr>
      <vt:lpstr>Data!_Ref150229505</vt:lpstr>
      <vt:lpstr>Data!_Ref150229579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Diep</cp:lastModifiedBy>
  <dcterms:created xsi:type="dcterms:W3CDTF">2022-11-21T18:08:54Z</dcterms:created>
  <dcterms:modified xsi:type="dcterms:W3CDTF">2023-11-28T20:31:26Z</dcterms:modified>
</cp:coreProperties>
</file>