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LaTeX\MEC E 301\Lab 4\"/>
    </mc:Choice>
  </mc:AlternateContent>
  <xr:revisionPtr revIDLastSave="0" documentId="13_ncr:1_{B2E149F2-BF75-43DC-9353-4DD50F0C572A}" xr6:coauthVersionLast="47" xr6:coauthVersionMax="47" xr10:uidLastSave="{00000000-0000-0000-0000-000000000000}"/>
  <bookViews>
    <workbookView xWindow="-120" yWindow="-120" windowWidth="38640" windowHeight="21240" activeTab="1" xr2:uid="{536FADCD-359F-B041-A8CF-9623A1D8DBE3}"/>
  </bookViews>
  <sheets>
    <sheet name="Info" sheetId="4" r:id="rId1"/>
    <sheet name="Data" sheetId="3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3" l="1" a="1"/>
  <c r="O45" i="3" s="1"/>
  <c r="K85" i="3"/>
  <c r="K84" i="3"/>
  <c r="K83" i="3"/>
  <c r="K82" i="3"/>
  <c r="M79" i="3"/>
  <c r="M78" i="3"/>
  <c r="M77" i="3"/>
  <c r="L79" i="3"/>
  <c r="K77" i="3"/>
  <c r="L77" i="3"/>
  <c r="R73" i="3"/>
  <c r="Q73" i="3"/>
  <c r="P73" i="3"/>
  <c r="O73" i="3"/>
  <c r="S73" i="3"/>
  <c r="K29" i="3"/>
  <c r="J65" i="3"/>
  <c r="S65" i="3"/>
  <c r="S66" i="3"/>
  <c r="S64" i="3"/>
  <c r="J66" i="3"/>
  <c r="J64" i="3"/>
  <c r="I65" i="3"/>
  <c r="I66" i="3"/>
  <c r="I64" i="3"/>
  <c r="H65" i="3"/>
  <c r="H66" i="3"/>
  <c r="H64" i="3"/>
  <c r="G25" i="3"/>
  <c r="G20" i="3"/>
  <c r="F49" i="3"/>
  <c r="E20" i="3"/>
  <c r="D34" i="3"/>
  <c r="D35" i="3"/>
  <c r="D36" i="3"/>
  <c r="D37" i="3"/>
  <c r="D38" i="3"/>
  <c r="D39" i="3"/>
  <c r="D40" i="3"/>
  <c r="D41" i="3"/>
  <c r="D42" i="3"/>
  <c r="D43" i="3"/>
  <c r="D49" i="3"/>
  <c r="D50" i="3"/>
  <c r="D51" i="3"/>
  <c r="D52" i="3"/>
  <c r="D53" i="3"/>
  <c r="D54" i="3"/>
  <c r="D55" i="3"/>
  <c r="D56" i="3"/>
  <c r="D57" i="3"/>
  <c r="D58" i="3"/>
  <c r="D21" i="3"/>
  <c r="D22" i="3"/>
  <c r="D23" i="3"/>
  <c r="D24" i="3"/>
  <c r="D25" i="3"/>
  <c r="D26" i="3"/>
  <c r="D27" i="3"/>
  <c r="D28" i="3"/>
  <c r="D29" i="3"/>
  <c r="D20" i="3"/>
  <c r="F24" i="3"/>
  <c r="F25" i="3"/>
  <c r="F27" i="3"/>
  <c r="E21" i="3"/>
  <c r="F21" i="3" s="1"/>
  <c r="E22" i="3"/>
  <c r="F22" i="3" s="1"/>
  <c r="E23" i="3"/>
  <c r="F23" i="3" s="1"/>
  <c r="E24" i="3"/>
  <c r="E25" i="3"/>
  <c r="E26" i="3"/>
  <c r="F26" i="3" s="1"/>
  <c r="E27" i="3"/>
  <c r="E28" i="3"/>
  <c r="F28" i="3" s="1"/>
  <c r="E29" i="3"/>
  <c r="F29" i="3" s="1"/>
  <c r="F20" i="3"/>
  <c r="F53" i="3"/>
  <c r="E50" i="3"/>
  <c r="F50" i="3" s="1"/>
  <c r="E51" i="3"/>
  <c r="F51" i="3" s="1"/>
  <c r="E52" i="3"/>
  <c r="F52" i="3" s="1"/>
  <c r="E53" i="3"/>
  <c r="E54" i="3"/>
  <c r="F54" i="3" s="1"/>
  <c r="E55" i="3"/>
  <c r="F55" i="3" s="1"/>
  <c r="E56" i="3"/>
  <c r="F56" i="3" s="1"/>
  <c r="E57" i="3"/>
  <c r="F57" i="3" s="1"/>
  <c r="E58" i="3"/>
  <c r="F58" i="3" s="1"/>
  <c r="E49" i="3"/>
  <c r="E43" i="3"/>
  <c r="F43" i="3" s="1"/>
  <c r="E41" i="3"/>
  <c r="F41" i="3" s="1"/>
  <c r="E39" i="3"/>
  <c r="F39" i="3" s="1"/>
  <c r="E34" i="3"/>
  <c r="F34" i="3" s="1"/>
  <c r="E35" i="3"/>
  <c r="F35" i="3" s="1"/>
  <c r="E36" i="3"/>
  <c r="F36" i="3" s="1"/>
  <c r="E37" i="3"/>
  <c r="F37" i="3" s="1"/>
  <c r="E38" i="3"/>
  <c r="F38" i="3" s="1"/>
  <c r="E40" i="3"/>
  <c r="F40" i="3" s="1"/>
  <c r="E42" i="3"/>
  <c r="F42" i="3" s="1"/>
  <c r="G12" i="3"/>
  <c r="H12" i="3" s="1"/>
  <c r="G13" i="3"/>
  <c r="H13" i="3" s="1"/>
  <c r="G11" i="3"/>
  <c r="H11" i="3" s="1"/>
  <c r="G21" i="3" s="1"/>
  <c r="C29" i="4"/>
  <c r="C30" i="4" s="1"/>
  <c r="C32" i="4" s="1"/>
  <c r="G42" i="3" l="1"/>
  <c r="G28" i="3"/>
  <c r="G56" i="3"/>
  <c r="G26" i="3"/>
  <c r="G52" i="3"/>
  <c r="P11" i="3"/>
  <c r="H21" i="3" s="1"/>
  <c r="I21" i="3" s="1"/>
  <c r="J21" i="3" s="1"/>
  <c r="G27" i="3"/>
  <c r="G58" i="3"/>
  <c r="G54" i="3"/>
  <c r="G50" i="3"/>
  <c r="G24" i="3"/>
  <c r="G51" i="3"/>
  <c r="G23" i="3"/>
  <c r="G49" i="3"/>
  <c r="G22" i="3"/>
  <c r="G39" i="3"/>
  <c r="G55" i="3"/>
  <c r="G34" i="3"/>
  <c r="G41" i="3"/>
  <c r="G57" i="3"/>
  <c r="G53" i="3"/>
  <c r="G29" i="3"/>
  <c r="G35" i="3"/>
  <c r="G36" i="3"/>
  <c r="G37" i="3"/>
  <c r="G40" i="3"/>
  <c r="G43" i="3"/>
  <c r="G38" i="3"/>
  <c r="H39" i="3" l="1"/>
  <c r="I39" i="3" s="1"/>
  <c r="J39" i="3" s="1"/>
  <c r="H35" i="3"/>
  <c r="H29" i="3"/>
  <c r="I29" i="3" s="1"/>
  <c r="J29" i="3" s="1"/>
  <c r="J37" i="3"/>
  <c r="H37" i="3"/>
  <c r="I37" i="3" s="1"/>
  <c r="H53" i="3"/>
  <c r="I53" i="3" s="1"/>
  <c r="J53" i="3" s="1"/>
  <c r="H49" i="3"/>
  <c r="I49" i="3" s="1"/>
  <c r="J49" i="3" s="1"/>
  <c r="H54" i="3"/>
  <c r="I54" i="3" s="1"/>
  <c r="J54" i="3" s="1"/>
  <c r="H40" i="3"/>
  <c r="I40" i="3" s="1"/>
  <c r="J40" i="3" s="1"/>
  <c r="H22" i="3"/>
  <c r="I22" i="3" s="1"/>
  <c r="J22" i="3" s="1"/>
  <c r="H36" i="3"/>
  <c r="I36" i="3" s="1"/>
  <c r="J36" i="3" s="1"/>
  <c r="H58" i="3"/>
  <c r="I58" i="3" s="1"/>
  <c r="J58" i="3" s="1"/>
  <c r="H23" i="3"/>
  <c r="I23" i="3" s="1"/>
  <c r="J23" i="3" s="1"/>
  <c r="H28" i="3"/>
  <c r="I28" i="3" s="1"/>
  <c r="J28" i="3" s="1"/>
  <c r="H41" i="3"/>
  <c r="I41" i="3" s="1"/>
  <c r="J41" i="3" s="1"/>
  <c r="H50" i="3"/>
  <c r="I50" i="3" s="1"/>
  <c r="J50" i="3" s="1"/>
  <c r="H57" i="3"/>
  <c r="I57" i="3" s="1"/>
  <c r="J57" i="3" s="1"/>
  <c r="H56" i="3"/>
  <c r="I56" i="3" s="1"/>
  <c r="J56" i="3" s="1"/>
  <c r="H38" i="3"/>
  <c r="I38" i="3" s="1"/>
  <c r="J38" i="3" s="1"/>
  <c r="H27" i="3"/>
  <c r="I27" i="3" s="1"/>
  <c r="J27" i="3" s="1"/>
  <c r="H34" i="3"/>
  <c r="I34" i="3" s="1"/>
  <c r="J34" i="3" s="1"/>
  <c r="H25" i="3"/>
  <c r="I25" i="3" s="1"/>
  <c r="J25" i="3" s="1"/>
  <c r="H42" i="3"/>
  <c r="I42" i="3" s="1"/>
  <c r="J42" i="3" s="1"/>
  <c r="H55" i="3"/>
  <c r="I55" i="3" s="1"/>
  <c r="J55" i="3" s="1"/>
  <c r="H20" i="3"/>
  <c r="I20" i="3" s="1"/>
  <c r="J20" i="3" s="1"/>
  <c r="H52" i="3"/>
  <c r="I52" i="3" s="1"/>
  <c r="J52" i="3" s="1"/>
  <c r="H51" i="3"/>
  <c r="I51" i="3" s="1"/>
  <c r="J51" i="3" s="1"/>
  <c r="H43" i="3"/>
  <c r="I43" i="3" s="1"/>
  <c r="J43" i="3" s="1"/>
  <c r="H26" i="3"/>
  <c r="I26" i="3" s="1"/>
  <c r="J26" i="3" s="1"/>
  <c r="H24" i="3"/>
  <c r="I24" i="3" s="1"/>
  <c r="J24" i="3" s="1"/>
  <c r="I35" i="3"/>
  <c r="J3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<sst xmlns="http://schemas.openxmlformats.org/spreadsheetml/2006/main" count="174" uniqueCount="90">
  <si>
    <t>Gauge Factor</t>
  </si>
  <si>
    <t>Amplifier gain</t>
  </si>
  <si>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</si>
  <si>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</si>
  <si>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</si>
  <si>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</si>
  <si>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</si>
  <si>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</si>
  <si>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</si>
  <si>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Grading Rubric: To be completed by the Teaching Assistant</t>
  </si>
  <si>
    <t>Marking Category</t>
  </si>
  <si>
    <t>Maximum Marks</t>
  </si>
  <si>
    <t>Student Mark</t>
  </si>
  <si>
    <t>Student and group information is complete.</t>
  </si>
  <si>
    <t>Presentation of Figures and Tables. (Are the course requirements for figures and tables followed?)</t>
  </si>
  <si>
    <t>Organization and explaination. (Is the analysis of the data easy to follow and well explained?)</t>
  </si>
  <si>
    <t>Total</t>
  </si>
  <si>
    <t>Percentage</t>
  </si>
  <si>
    <t>Days late (less than)</t>
  </si>
  <si>
    <t>Grade</t>
  </si>
  <si>
    <t>Table 1: Constants for calculations</t>
  </si>
  <si>
    <t>First measurement</t>
  </si>
  <si>
    <t>Second measurement</t>
  </si>
  <si>
    <t>Third measurement</t>
  </si>
  <si>
    <t>Fourth measurement</t>
  </si>
  <si>
    <t>Fifth measurement</t>
  </si>
  <si>
    <t>Description</t>
  </si>
  <si>
    <t>(mm)</t>
  </si>
  <si>
    <r>
      <t xml:space="preserve">Distance from centre of strain gauge to weight hanger, </t>
    </r>
    <r>
      <rPr>
        <i/>
        <sz val="12"/>
        <color theme="1"/>
        <rFont val="Calibri"/>
        <family val="2"/>
        <scheme val="minor"/>
      </rPr>
      <t>L</t>
    </r>
  </si>
  <si>
    <t>Modulus of elasticity (GPa)</t>
  </si>
  <si>
    <r>
      <t xml:space="preserve">Width of beam, </t>
    </r>
    <r>
      <rPr>
        <i/>
        <sz val="12"/>
        <color theme="1"/>
        <rFont val="Calibri"/>
        <family val="2"/>
        <scheme val="minor"/>
      </rPr>
      <t>b</t>
    </r>
  </si>
  <si>
    <r>
      <t xml:space="preserve">Height of beam, </t>
    </r>
    <r>
      <rPr>
        <i/>
        <sz val="12"/>
        <color theme="1"/>
        <rFont val="Calibri"/>
        <family val="2"/>
        <scheme val="minor"/>
      </rPr>
      <t>h</t>
    </r>
  </si>
  <si>
    <t>Table 2: Beam Dimension Measurements</t>
  </si>
  <si>
    <t>(kg)</t>
  </si>
  <si>
    <t>(V)</t>
  </si>
  <si>
    <t xml:space="preserve">Table 3: Strain measurements of the cantilever with a quarter Wheatstone bridge. </t>
  </si>
  <si>
    <t xml:space="preserve">Table 4: Strain measurements of the cantilever with a half Wheatstone bridge. </t>
  </si>
  <si>
    <t>PUT YOUR ANALYSIS BELOW HERE</t>
  </si>
  <si>
    <t>E_in (V)</t>
  </si>
  <si>
    <t>Q1</t>
  </si>
  <si>
    <t>Q2</t>
  </si>
  <si>
    <t>Q3</t>
  </si>
  <si>
    <t xml:space="preserve">Table 5: Strain measurements of the cantilever with a full Wheatstone bridge. </t>
  </si>
  <si>
    <t>Q4</t>
  </si>
  <si>
    <r>
      <t xml:space="preserve">Voltage reading without weight, </t>
    </r>
    <r>
      <rPr>
        <i/>
        <sz val="12"/>
        <color theme="1"/>
        <rFont val="Calibri"/>
        <family val="2"/>
        <scheme val="minor"/>
      </rPr>
      <t>E</t>
    </r>
    <r>
      <rPr>
        <vertAlign val="subscript"/>
        <sz val="12"/>
        <color theme="1"/>
        <rFont val="Calibri (Body)"/>
      </rPr>
      <t>nw</t>
    </r>
  </si>
  <si>
    <r>
      <t xml:space="preserve">Voltage reading with weight, </t>
    </r>
    <r>
      <rPr>
        <i/>
        <sz val="12"/>
        <color theme="1"/>
        <rFont val="Calibri"/>
        <family val="2"/>
        <scheme val="minor"/>
      </rPr>
      <t>E</t>
    </r>
    <r>
      <rPr>
        <vertAlign val="subscript"/>
        <sz val="12"/>
        <color theme="1"/>
        <rFont val="Calibri (Body)"/>
      </rPr>
      <t>w</t>
    </r>
  </si>
  <si>
    <t>Q5</t>
  </si>
  <si>
    <t>Q6</t>
  </si>
  <si>
    <t>Q7</t>
  </si>
  <si>
    <t>Mass</t>
  </si>
  <si>
    <t>Q8</t>
  </si>
  <si>
    <t>Diep</t>
  </si>
  <si>
    <t>Alex</t>
  </si>
  <si>
    <t>abdiep</t>
  </si>
  <si>
    <t>theoretical</t>
  </si>
  <si>
    <t>nominal (mean)</t>
  </si>
  <si>
    <t>moment of inertia</t>
  </si>
  <si>
    <t>epsilon</t>
  </si>
  <si>
    <t>m^4</t>
  </si>
  <si>
    <t>mm</t>
  </si>
  <si>
    <t>m</t>
  </si>
  <si>
    <t>M</t>
  </si>
  <si>
    <t>Stress</t>
  </si>
  <si>
    <t>delta E0</t>
  </si>
  <si>
    <t>(Pa)</t>
  </si>
  <si>
    <t>Nm</t>
  </si>
  <si>
    <t>(m/m)</t>
  </si>
  <si>
    <t>percent error</t>
  </si>
  <si>
    <t>delta Ew</t>
  </si>
  <si>
    <t>V</t>
  </si>
  <si>
    <t>Nominal Mean</t>
  </si>
  <si>
    <t>Moment of Inertia</t>
  </si>
  <si>
    <t>quarter</t>
  </si>
  <si>
    <t>half</t>
  </si>
  <si>
    <t>full</t>
  </si>
  <si>
    <t>Distance from centre of strain gauge to weight hanger, L</t>
  </si>
  <si>
    <t>Width of beam, b</t>
  </si>
  <si>
    <t>Height of beam, h</t>
  </si>
  <si>
    <t>stdev</t>
  </si>
  <si>
    <t>T-INV</t>
  </si>
  <si>
    <t>P_x</t>
  </si>
  <si>
    <t>B_x</t>
  </si>
  <si>
    <t>U_x</t>
  </si>
  <si>
    <t>nominal</t>
  </si>
  <si>
    <t>Fg</t>
  </si>
  <si>
    <t>partial times delta</t>
  </si>
  <si>
    <t>V_in</t>
  </si>
  <si>
    <t>delta epsilon</t>
  </si>
  <si>
    <t>%err</t>
  </si>
  <si>
    <t>theory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</si>
</sst>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0.0E+00"/>
    <numFmt numFmtId="168" formatCode="0.0000000000"/>
    <numFmt numFmtId="169" formatCode="0.000000000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2" fillId="0" borderId="0" xfId="1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 wrapText="1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0358-FEC8-A144-8099-91F3654A2444}">
  <dimension ref="A1:C32"/>
  <sheetViews>
    <sheetView workbookViewId="0">
      <selection activeCell="B5" sqref="B5"/>
    </sheetView>
  </sheetViews>
  <sheetFormatPr defaultColWidth="10.875" defaultRowHeight="15.75"/>
  <cols>
    <col min="1" max="1" width="22" style="2" bestFit="1" customWidth="1"/>
    <col min="2" max="2" width="18.375" style="2" customWidth="1"/>
    <col min="3" max="3" width="14.625" style="2" customWidth="1"/>
    <col min="4" max="16384" width="10.875" style="2"/>
  </cols>
  <sheetData>
    <row r="1" spans="1:2">
      <c r="A1" s="1" t="s">
        <v>2</v>
      </c>
      <c r="B1" s="2" t="s">
        <v>51</v>
      </c>
    </row>
    <row r="2" spans="1:2">
      <c r="A2" s="1" t="s">
        <v>3</v>
      </c>
      <c r="B2" s="2" t="s">
        <v>52</v>
      </c>
    </row>
    <row r="3" spans="1:2">
      <c r="A3" s="1" t="s">
        <v>4</v>
      </c>
      <c r="B3" s="2">
        <v>1664334</v>
      </c>
    </row>
    <row r="4" spans="1:2">
      <c r="A4" s="1" t="s">
        <v>5</v>
      </c>
      <c r="B4" s="2" t="s">
        <v>53</v>
      </c>
    </row>
    <row r="5" spans="1:2">
      <c r="A5" s="1"/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16" spans="1:2">
      <c r="A16" s="2" t="s">
        <v>9</v>
      </c>
    </row>
    <row r="17" spans="1:3">
      <c r="A17" s="3" t="s">
        <v>10</v>
      </c>
      <c r="B17" s="3" t="s">
        <v>11</v>
      </c>
      <c r="C17" s="3" t="s">
        <v>12</v>
      </c>
    </row>
    <row r="18" spans="1:3" ht="31.5">
      <c r="A18" s="4" t="s">
        <v>13</v>
      </c>
      <c r="B18" s="5">
        <v>2</v>
      </c>
      <c r="C18" s="5"/>
    </row>
    <row r="19" spans="1:3">
      <c r="A19" s="5" t="s">
        <v>39</v>
      </c>
      <c r="B19" s="5">
        <v>4</v>
      </c>
      <c r="C19" s="5"/>
    </row>
    <row r="20" spans="1:3">
      <c r="A20" s="5" t="s">
        <v>40</v>
      </c>
      <c r="B20" s="5">
        <v>2</v>
      </c>
      <c r="C20" s="5"/>
    </row>
    <row r="21" spans="1:3">
      <c r="A21" s="5" t="s">
        <v>41</v>
      </c>
      <c r="B21" s="5">
        <v>4</v>
      </c>
      <c r="C21" s="5"/>
    </row>
    <row r="22" spans="1:3">
      <c r="A22" s="5" t="s">
        <v>43</v>
      </c>
      <c r="B22" s="5">
        <v>3</v>
      </c>
      <c r="C22" s="5"/>
    </row>
    <row r="23" spans="1:3">
      <c r="A23" s="5" t="s">
        <v>46</v>
      </c>
      <c r="B23" s="5">
        <v>2</v>
      </c>
    </row>
    <row r="24" spans="1:3">
      <c r="A24" s="5" t="s">
        <v>47</v>
      </c>
      <c r="B24" s="5">
        <v>3</v>
      </c>
      <c r="C24" s="5"/>
    </row>
    <row r="25" spans="1:3">
      <c r="A25" s="5" t="s">
        <v>48</v>
      </c>
      <c r="B25" s="5">
        <v>2</v>
      </c>
      <c r="C25" s="5"/>
    </row>
    <row r="26" spans="1:3">
      <c r="A26" s="5" t="s">
        <v>50</v>
      </c>
      <c r="B26" s="5">
        <v>1</v>
      </c>
      <c r="C26" s="5"/>
    </row>
    <row r="27" spans="1:3" ht="63">
      <c r="A27" s="4" t="s">
        <v>14</v>
      </c>
      <c r="B27" s="5">
        <v>5</v>
      </c>
      <c r="C27" s="5"/>
    </row>
    <row r="28" spans="1:3" ht="63">
      <c r="A28" s="6" t="s">
        <v>15</v>
      </c>
      <c r="B28" s="3">
        <v>5</v>
      </c>
      <c r="C28" s="3"/>
    </row>
    <row r="29" spans="1:3">
      <c r="A29" s="5"/>
      <c r="B29" s="5" t="s">
        <v>16</v>
      </c>
      <c r="C29" s="5">
        <f>SUM(C18:C28)</f>
        <v>0</v>
      </c>
    </row>
    <row r="30" spans="1:3">
      <c r="A30" s="5"/>
      <c r="B30" s="5" t="s">
        <v>17</v>
      </c>
      <c r="C30" s="7">
        <f>C29/SUM(B18:B28)</f>
        <v>0</v>
      </c>
    </row>
    <row r="31" spans="1:3">
      <c r="A31" s="5"/>
      <c r="B31" s="5" t="s">
        <v>18</v>
      </c>
      <c r="C31" s="5">
        <v>0</v>
      </c>
    </row>
    <row r="32" spans="1:3">
      <c r="A32" s="5"/>
      <c r="B32" s="5" t="s">
        <v>19</v>
      </c>
      <c r="C32" s="7">
        <f>IF(C31=1,C30-0.1,IF(C31=2,C30-0.2,IF(C31=3,C30-0.6,IF(C31&gt;=4,0,C30))))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58E6-A04D-714D-8FCF-43325A333D09}">
  <dimension ref="A1:T85"/>
  <sheetViews>
    <sheetView tabSelected="1" topLeftCell="A33" zoomScale="85" zoomScaleNormal="85" workbookViewId="0">
      <selection activeCell="N69" sqref="N69"/>
    </sheetView>
  </sheetViews>
  <sheetFormatPr defaultColWidth="10.625" defaultRowHeight="15.75"/>
  <cols>
    <col min="1" max="1" width="23.625" customWidth="1"/>
    <col min="2" max="2" width="12.625" bestFit="1" customWidth="1"/>
    <col min="3" max="3" width="14.125" bestFit="1" customWidth="1"/>
    <col min="4" max="5" width="12" bestFit="1" customWidth="1"/>
    <col min="6" max="6" width="12.625" bestFit="1" customWidth="1"/>
    <col min="7" max="7" width="12.125" bestFit="1" customWidth="1"/>
    <col min="8" max="8" width="12.125" customWidth="1"/>
    <col min="9" max="9" width="15.625" customWidth="1"/>
    <col min="11" max="11" width="12.625" bestFit="1" customWidth="1"/>
    <col min="12" max="12" width="11.875" bestFit="1" customWidth="1"/>
    <col min="13" max="13" width="12.375" bestFit="1" customWidth="1"/>
    <col min="14" max="14" width="47.875" bestFit="1" customWidth="1"/>
    <col min="15" max="15" width="11.375" bestFit="1" customWidth="1"/>
    <col min="16" max="16" width="17.625" bestFit="1" customWidth="1"/>
    <col min="17" max="17" width="14.5" bestFit="1" customWidth="1"/>
    <col min="18" max="18" width="12" bestFit="1" customWidth="1"/>
    <col min="21" max="21" width="27.125" customWidth="1"/>
    <col min="22" max="22" width="12.125" bestFit="1" customWidth="1"/>
  </cols>
  <sheetData>
    <row r="1" spans="1:16">
      <c r="A1" s="11" t="s">
        <v>20</v>
      </c>
      <c r="B1" s="11"/>
      <c r="I1" t="s">
        <v>37</v>
      </c>
    </row>
    <row r="2" spans="1:16">
      <c r="A2" t="s">
        <v>0</v>
      </c>
      <c r="B2">
        <v>2.09</v>
      </c>
    </row>
    <row r="3" spans="1:16">
      <c r="A3" t="s">
        <v>29</v>
      </c>
      <c r="B3">
        <v>68.900000000000006</v>
      </c>
    </row>
    <row r="4" spans="1:16">
      <c r="A4" t="s">
        <v>38</v>
      </c>
      <c r="B4" s="17">
        <v>3.3</v>
      </c>
    </row>
    <row r="5" spans="1:16">
      <c r="A5" s="11" t="s">
        <v>1</v>
      </c>
      <c r="B5" s="11">
        <v>3000</v>
      </c>
    </row>
    <row r="8" spans="1:16">
      <c r="A8" t="s">
        <v>32</v>
      </c>
    </row>
    <row r="9" spans="1:16" ht="47.25">
      <c r="B9" s="9" t="s">
        <v>21</v>
      </c>
      <c r="C9" s="9" t="s">
        <v>22</v>
      </c>
      <c r="D9" s="9" t="s">
        <v>23</v>
      </c>
      <c r="E9" s="9" t="s">
        <v>24</v>
      </c>
      <c r="F9" s="9" t="s">
        <v>25</v>
      </c>
      <c r="G9" s="9" t="s">
        <v>55</v>
      </c>
      <c r="H9" s="9" t="s">
        <v>70</v>
      </c>
      <c r="P9" t="s">
        <v>71</v>
      </c>
    </row>
    <row r="10" spans="1:16">
      <c r="A10" s="11" t="s">
        <v>26</v>
      </c>
      <c r="B10" s="10" t="s">
        <v>27</v>
      </c>
      <c r="C10" s="10" t="s">
        <v>27</v>
      </c>
      <c r="D10" s="10" t="s">
        <v>27</v>
      </c>
      <c r="E10" s="10" t="s">
        <v>27</v>
      </c>
      <c r="F10" s="10" t="s">
        <v>27</v>
      </c>
      <c r="G10" s="19" t="s">
        <v>59</v>
      </c>
      <c r="H10" s="19" t="s">
        <v>60</v>
      </c>
      <c r="P10" t="s">
        <v>58</v>
      </c>
    </row>
    <row r="11" spans="1:16" ht="47.25">
      <c r="A11" s="8" t="s">
        <v>28</v>
      </c>
      <c r="B11">
        <v>203.5</v>
      </c>
      <c r="C11" s="20">
        <v>202.5</v>
      </c>
      <c r="D11" s="20">
        <v>202.5</v>
      </c>
      <c r="E11" s="20">
        <v>202.5</v>
      </c>
      <c r="F11" s="20">
        <v>202.5</v>
      </c>
      <c r="G11">
        <f>AVERAGE(B11:F11)</f>
        <v>202.7</v>
      </c>
      <c r="H11">
        <f>G11/1000</f>
        <v>0.20269999999999999</v>
      </c>
      <c r="P11">
        <f>H12*(H13^3)/12</f>
        <v>2.2001734970821578E-9</v>
      </c>
    </row>
    <row r="12" spans="1:16">
      <c r="A12" t="s">
        <v>30</v>
      </c>
      <c r="B12" s="15">
        <v>12.81</v>
      </c>
      <c r="C12" s="15">
        <v>12.813000000000001</v>
      </c>
      <c r="D12">
        <v>12.811</v>
      </c>
      <c r="E12" s="15">
        <v>12.811999999999999</v>
      </c>
      <c r="F12" s="15">
        <v>12.811999999999999</v>
      </c>
      <c r="G12">
        <f t="shared" ref="G12:G13" si="0">AVERAGE(B12:F12)</f>
        <v>12.811599999999999</v>
      </c>
      <c r="H12">
        <f t="shared" ref="H12:H13" si="1">G12/1000</f>
        <v>1.2811599999999999E-2</v>
      </c>
      <c r="I12" s="28">
        <v>1.27256E-2</v>
      </c>
    </row>
    <row r="13" spans="1:16">
      <c r="A13" s="11" t="s">
        <v>31</v>
      </c>
      <c r="B13" s="11">
        <v>12.726000000000001</v>
      </c>
      <c r="C13" s="11">
        <v>12.728999999999999</v>
      </c>
      <c r="D13" s="11">
        <v>12.724</v>
      </c>
      <c r="E13" s="11">
        <v>12.724</v>
      </c>
      <c r="F13" s="11">
        <v>12.725</v>
      </c>
      <c r="G13">
        <f t="shared" si="0"/>
        <v>12.725600000000002</v>
      </c>
      <c r="H13">
        <f t="shared" si="1"/>
        <v>1.2725600000000002E-2</v>
      </c>
    </row>
    <row r="17" spans="1:18">
      <c r="A17" t="s">
        <v>35</v>
      </c>
    </row>
    <row r="18" spans="1:18" ht="66.75">
      <c r="A18" s="12" t="s">
        <v>49</v>
      </c>
      <c r="B18" s="14" t="s">
        <v>44</v>
      </c>
      <c r="C18" s="14" t="s">
        <v>45</v>
      </c>
      <c r="D18" t="s">
        <v>68</v>
      </c>
      <c r="E18" t="s">
        <v>63</v>
      </c>
      <c r="F18" t="s">
        <v>57</v>
      </c>
      <c r="G18" t="s">
        <v>61</v>
      </c>
      <c r="H18" t="s">
        <v>62</v>
      </c>
      <c r="I18" t="s">
        <v>57</v>
      </c>
      <c r="J18" t="s">
        <v>67</v>
      </c>
      <c r="N18" s="12" t="s">
        <v>49</v>
      </c>
      <c r="O18" t="s">
        <v>61</v>
      </c>
      <c r="P18" t="s">
        <v>62</v>
      </c>
      <c r="Q18" t="s">
        <v>57</v>
      </c>
      <c r="R18" t="s">
        <v>67</v>
      </c>
    </row>
    <row r="19" spans="1:18">
      <c r="A19" s="13" t="s">
        <v>33</v>
      </c>
      <c r="B19" s="23" t="s">
        <v>34</v>
      </c>
      <c r="C19" s="23" t="s">
        <v>34</v>
      </c>
      <c r="D19" t="s">
        <v>69</v>
      </c>
      <c r="E19" t="s">
        <v>69</v>
      </c>
      <c r="G19" s="12" t="s">
        <v>65</v>
      </c>
      <c r="H19" t="s">
        <v>64</v>
      </c>
      <c r="I19" t="s">
        <v>66</v>
      </c>
      <c r="N19" s="13" t="s">
        <v>33</v>
      </c>
      <c r="O19" t="s">
        <v>65</v>
      </c>
      <c r="P19" t="s">
        <v>64</v>
      </c>
      <c r="Q19" t="s">
        <v>66</v>
      </c>
    </row>
    <row r="20" spans="1:18">
      <c r="A20" s="21">
        <v>0.05</v>
      </c>
      <c r="B20" s="21">
        <v>0.87</v>
      </c>
      <c r="C20" s="21">
        <v>0.88600000000000001</v>
      </c>
      <c r="D20" s="15">
        <f>C20-B20</f>
        <v>1.6000000000000014E-2</v>
      </c>
      <c r="E20" s="16">
        <f t="shared" ref="E20:E29" si="2">(C20-B20)/$B$5</f>
        <v>5.3333333333333379E-6</v>
      </c>
      <c r="F20" s="16">
        <f>4*E20/($B$4*$B$2)</f>
        <v>3.0931322797351534E-6</v>
      </c>
      <c r="G20">
        <f t="shared" ref="G20:G29" si="3">A20*9.81*$H$11</f>
        <v>9.9424350000000009E-2</v>
      </c>
      <c r="H20">
        <f t="shared" ref="H20:H29" si="4">G20*($H$13/2)/$P$11</f>
        <v>287530.62202547624</v>
      </c>
      <c r="I20">
        <f>H20/($B$3*10^9)</f>
        <v>4.1731585199633705E-6</v>
      </c>
      <c r="J20">
        <f>(I20-F20)/I20</f>
        <v>0.25880307087824139</v>
      </c>
      <c r="N20" s="21">
        <v>0.05</v>
      </c>
      <c r="O20" s="15">
        <v>9.9424350000000009E-2</v>
      </c>
      <c r="P20" s="26">
        <v>287530.62202547624</v>
      </c>
      <c r="Q20" s="26">
        <v>4.1731585199633705E-6</v>
      </c>
      <c r="R20" s="15">
        <v>0.25880307087824139</v>
      </c>
    </row>
    <row r="21" spans="1:18">
      <c r="A21" s="21">
        <v>0.1</v>
      </c>
      <c r="B21" s="21">
        <v>0.86399999999999999</v>
      </c>
      <c r="C21" s="21">
        <v>0.91200000000000003</v>
      </c>
      <c r="D21" s="15">
        <f t="shared" ref="D21:D58" si="5">C21-B21</f>
        <v>4.8000000000000043E-2</v>
      </c>
      <c r="E21" s="16">
        <f t="shared" si="2"/>
        <v>1.6000000000000013E-5</v>
      </c>
      <c r="F21" s="16">
        <f t="shared" ref="F21:F29" si="6">4*E21/($B$4*$B$2)</f>
        <v>9.2793968392054602E-6</v>
      </c>
      <c r="G21">
        <f t="shared" si="3"/>
        <v>0.19884870000000002</v>
      </c>
      <c r="H21">
        <f t="shared" si="4"/>
        <v>575061.24405095249</v>
      </c>
      <c r="I21">
        <f t="shared" ref="I21:I29" si="7">H21/($B$3*10^9)</f>
        <v>8.346317039926741E-6</v>
      </c>
      <c r="J21">
        <f t="shared" ref="J21:J29" si="8">(I21-F21)/I21</f>
        <v>-0.11179539368263793</v>
      </c>
      <c r="N21" s="21">
        <v>0.1</v>
      </c>
      <c r="O21" s="15">
        <v>0.19884870000000002</v>
      </c>
      <c r="P21" s="16">
        <v>575061.24405095249</v>
      </c>
      <c r="Q21" s="16">
        <v>8.346317039926741E-6</v>
      </c>
      <c r="R21" s="15">
        <v>-0.11179539368263793</v>
      </c>
    </row>
    <row r="22" spans="1:18">
      <c r="A22" s="21">
        <v>0.2</v>
      </c>
      <c r="B22" s="21">
        <v>0.87</v>
      </c>
      <c r="C22" s="21">
        <v>0.94099999999999995</v>
      </c>
      <c r="D22" s="15">
        <f t="shared" si="5"/>
        <v>7.0999999999999952E-2</v>
      </c>
      <c r="E22" s="16">
        <f t="shared" si="2"/>
        <v>2.3666666666666651E-5</v>
      </c>
      <c r="F22" s="16">
        <f t="shared" si="6"/>
        <v>1.3725774491324723E-5</v>
      </c>
      <c r="G22">
        <f t="shared" si="3"/>
        <v>0.39769740000000003</v>
      </c>
      <c r="H22">
        <f t="shared" si="4"/>
        <v>1150122.488101905</v>
      </c>
      <c r="I22">
        <f t="shared" si="7"/>
        <v>1.6692634079853482E-5</v>
      </c>
      <c r="J22">
        <f t="shared" si="8"/>
        <v>0.17773465675555028</v>
      </c>
      <c r="K22" s="16"/>
      <c r="L22" s="17"/>
      <c r="N22" s="21">
        <v>0.2</v>
      </c>
      <c r="O22" s="15">
        <v>0.39769740000000003</v>
      </c>
      <c r="P22" s="16">
        <v>1150122.488101905</v>
      </c>
      <c r="Q22" s="16">
        <v>1.6692634079853482E-5</v>
      </c>
      <c r="R22" s="15">
        <v>0.17773465675555028</v>
      </c>
    </row>
    <row r="23" spans="1:18">
      <c r="A23" s="21">
        <v>0.5</v>
      </c>
      <c r="B23" s="21">
        <v>0.87</v>
      </c>
      <c r="C23" s="21">
        <v>1.073</v>
      </c>
      <c r="D23" s="15">
        <f t="shared" si="5"/>
        <v>0.20299999999999996</v>
      </c>
      <c r="E23" s="16">
        <f t="shared" si="2"/>
        <v>6.7666666666666654E-5</v>
      </c>
      <c r="F23" s="16">
        <f t="shared" si="6"/>
        <v>3.9244115799139719E-5</v>
      </c>
      <c r="G23">
        <f t="shared" si="3"/>
        <v>0.99424350000000006</v>
      </c>
      <c r="H23">
        <f t="shared" si="4"/>
        <v>2875306.2202547621</v>
      </c>
      <c r="I23">
        <f t="shared" si="7"/>
        <v>4.1731585199633703E-5</v>
      </c>
      <c r="J23">
        <f t="shared" si="8"/>
        <v>5.9606396176769667E-2</v>
      </c>
      <c r="K23" s="16"/>
      <c r="L23" s="17"/>
      <c r="N23" s="21">
        <v>0.5</v>
      </c>
      <c r="O23" s="15">
        <v>0.99424350000000006</v>
      </c>
      <c r="P23" s="16">
        <v>2875306.2202547621</v>
      </c>
      <c r="Q23" s="16">
        <v>4.1731585199633703E-5</v>
      </c>
      <c r="R23" s="15">
        <v>5.9606396176769667E-2</v>
      </c>
    </row>
    <row r="24" spans="1:18">
      <c r="A24" s="21">
        <v>1</v>
      </c>
      <c r="B24" s="21">
        <v>0.85099999999999998</v>
      </c>
      <c r="C24" s="21">
        <v>1.27</v>
      </c>
      <c r="D24" s="15">
        <f t="shared" si="5"/>
        <v>0.41900000000000004</v>
      </c>
      <c r="E24" s="16">
        <f t="shared" si="2"/>
        <v>1.3966666666666668E-4</v>
      </c>
      <c r="F24" s="16">
        <f t="shared" si="6"/>
        <v>8.1001401575564271E-5</v>
      </c>
      <c r="G24">
        <f t="shared" si="3"/>
        <v>1.9884870000000001</v>
      </c>
      <c r="H24">
        <f t="shared" si="4"/>
        <v>5750612.4405095242</v>
      </c>
      <c r="I24">
        <f t="shared" si="7"/>
        <v>8.3463170399267406E-5</v>
      </c>
      <c r="J24">
        <f t="shared" si="8"/>
        <v>2.949527093119798E-2</v>
      </c>
      <c r="K24" s="16"/>
      <c r="L24" s="17"/>
      <c r="N24" s="21">
        <v>1</v>
      </c>
      <c r="O24" s="17">
        <v>1.9884870000000001</v>
      </c>
      <c r="P24" s="16">
        <v>5750612.4405095242</v>
      </c>
      <c r="Q24" s="16">
        <v>8.3463170399267406E-5</v>
      </c>
      <c r="R24" s="15">
        <v>2.949527093119798E-2</v>
      </c>
    </row>
    <row r="25" spans="1:18">
      <c r="A25" s="22">
        <v>1</v>
      </c>
      <c r="B25" s="22">
        <v>0.84399999999999997</v>
      </c>
      <c r="C25" s="22">
        <v>1.2569999999999999</v>
      </c>
      <c r="D25" s="15">
        <f t="shared" si="5"/>
        <v>0.41299999999999992</v>
      </c>
      <c r="E25" s="16">
        <f t="shared" si="2"/>
        <v>1.3766666666666663E-4</v>
      </c>
      <c r="F25" s="16">
        <f t="shared" si="6"/>
        <v>7.9841476970663564E-5</v>
      </c>
      <c r="G25">
        <f t="shared" si="3"/>
        <v>1.9884870000000001</v>
      </c>
      <c r="H25">
        <f t="shared" si="4"/>
        <v>5750612.4405095242</v>
      </c>
      <c r="I25">
        <f t="shared" si="7"/>
        <v>8.3463170399267406E-5</v>
      </c>
      <c r="J25">
        <f t="shared" si="8"/>
        <v>4.3392713352231244E-2</v>
      </c>
      <c r="K25" s="16"/>
      <c r="L25" s="17"/>
      <c r="N25" s="22">
        <v>1</v>
      </c>
      <c r="O25" s="17">
        <v>1.9884870000000001</v>
      </c>
      <c r="P25" s="16">
        <v>5750612.4405095242</v>
      </c>
      <c r="Q25" s="16">
        <v>8.3463170399267406E-5</v>
      </c>
      <c r="R25" s="15">
        <v>4.3392713352231244E-2</v>
      </c>
    </row>
    <row r="26" spans="1:18">
      <c r="A26" s="22">
        <v>1</v>
      </c>
      <c r="B26" s="22">
        <v>0.86399999999999999</v>
      </c>
      <c r="C26" s="22">
        <v>1.276</v>
      </c>
      <c r="D26" s="15">
        <f t="shared" si="5"/>
        <v>0.41200000000000003</v>
      </c>
      <c r="E26" s="16">
        <f t="shared" si="2"/>
        <v>1.3733333333333336E-4</v>
      </c>
      <c r="F26" s="16">
        <f t="shared" si="6"/>
        <v>7.9648156203180145E-5</v>
      </c>
      <c r="G26">
        <f t="shared" si="3"/>
        <v>1.9884870000000001</v>
      </c>
      <c r="H26">
        <f t="shared" si="4"/>
        <v>5750612.4405095242</v>
      </c>
      <c r="I26">
        <f t="shared" si="7"/>
        <v>8.3463170399267406E-5</v>
      </c>
      <c r="J26">
        <f t="shared" si="8"/>
        <v>4.5708953755736408E-2</v>
      </c>
      <c r="K26" s="16"/>
      <c r="L26" s="17"/>
      <c r="N26" s="22">
        <v>1</v>
      </c>
      <c r="O26" s="17">
        <v>1.9884870000000001</v>
      </c>
      <c r="P26" s="16">
        <v>5750612.4405095242</v>
      </c>
      <c r="Q26" s="16">
        <v>8.3463170399267406E-5</v>
      </c>
      <c r="R26" s="15">
        <v>4.5708953755736408E-2</v>
      </c>
    </row>
    <row r="27" spans="1:18">
      <c r="A27" s="22">
        <v>1</v>
      </c>
      <c r="B27" s="22">
        <v>0.77300000000000002</v>
      </c>
      <c r="C27" s="22">
        <v>1.1919999999999999</v>
      </c>
      <c r="D27" s="15">
        <f t="shared" si="5"/>
        <v>0.41899999999999993</v>
      </c>
      <c r="E27" s="16">
        <f t="shared" si="2"/>
        <v>1.3966666666666666E-4</v>
      </c>
      <c r="F27" s="16">
        <f t="shared" si="6"/>
        <v>8.1001401575564257E-5</v>
      </c>
      <c r="G27">
        <f t="shared" si="3"/>
        <v>1.9884870000000001</v>
      </c>
      <c r="H27">
        <f t="shared" si="4"/>
        <v>5750612.4405095242</v>
      </c>
      <c r="I27">
        <f t="shared" si="7"/>
        <v>8.3463170399267406E-5</v>
      </c>
      <c r="J27">
        <f t="shared" si="8"/>
        <v>2.949527093119814E-2</v>
      </c>
      <c r="N27" s="22">
        <v>1</v>
      </c>
      <c r="O27" s="17">
        <v>1.9884870000000001</v>
      </c>
      <c r="P27" s="16">
        <v>5750612.4405095242</v>
      </c>
      <c r="Q27" s="16">
        <v>8.3463170399267406E-5</v>
      </c>
      <c r="R27" s="15">
        <v>2.949527093119814E-2</v>
      </c>
    </row>
    <row r="28" spans="1:18">
      <c r="A28" s="22">
        <v>1</v>
      </c>
      <c r="B28" s="22">
        <v>0.77300000000000002</v>
      </c>
      <c r="C28" s="22">
        <v>1.196</v>
      </c>
      <c r="D28" s="15">
        <f t="shared" si="5"/>
        <v>0.42299999999999993</v>
      </c>
      <c r="E28" s="16">
        <f t="shared" si="2"/>
        <v>1.4099999999999998E-4</v>
      </c>
      <c r="F28" s="16">
        <f t="shared" si="6"/>
        <v>8.1774684645498044E-5</v>
      </c>
      <c r="G28">
        <f t="shared" si="3"/>
        <v>1.9884870000000001</v>
      </c>
      <c r="H28">
        <f t="shared" si="4"/>
        <v>5750612.4405095242</v>
      </c>
      <c r="I28">
        <f t="shared" si="7"/>
        <v>8.3463170399267406E-5</v>
      </c>
      <c r="J28">
        <f t="shared" si="8"/>
        <v>2.0230309317176183E-2</v>
      </c>
      <c r="N28" s="22">
        <v>1</v>
      </c>
      <c r="O28" s="17">
        <v>1.9884870000000001</v>
      </c>
      <c r="P28" s="16">
        <v>5750612.4405095242</v>
      </c>
      <c r="Q28" s="16">
        <v>8.3463170399267406E-5</v>
      </c>
      <c r="R28" s="15">
        <v>2.0230309317176183E-2</v>
      </c>
    </row>
    <row r="29" spans="1:18">
      <c r="A29" s="23">
        <v>1</v>
      </c>
      <c r="B29" s="23">
        <v>0.77700000000000002</v>
      </c>
      <c r="C29" s="23">
        <v>1.202</v>
      </c>
      <c r="D29" s="15">
        <f t="shared" si="5"/>
        <v>0.42499999999999993</v>
      </c>
      <c r="E29" s="16">
        <f t="shared" si="2"/>
        <v>1.4166666666666665E-4</v>
      </c>
      <c r="F29" s="16">
        <f t="shared" si="6"/>
        <v>8.2161326180464937E-5</v>
      </c>
      <c r="G29">
        <f t="shared" si="3"/>
        <v>1.9884870000000001</v>
      </c>
      <c r="H29">
        <f t="shared" si="4"/>
        <v>5750612.4405095242</v>
      </c>
      <c r="I29">
        <f t="shared" si="7"/>
        <v>8.3463170399267406E-5</v>
      </c>
      <c r="J29">
        <f t="shared" si="8"/>
        <v>1.5597828510165205E-2</v>
      </c>
      <c r="K29">
        <f>6*1*9.81*H11/(H12*H13^2*68.9*10^9)</f>
        <v>8.3463170399267366E-5</v>
      </c>
      <c r="N29" s="23">
        <v>1</v>
      </c>
      <c r="O29" s="17">
        <v>1.9884870000000001</v>
      </c>
      <c r="P29" s="16">
        <v>5750612.4405095242</v>
      </c>
      <c r="Q29" s="16">
        <v>8.3463170399267406E-5</v>
      </c>
      <c r="R29" s="15">
        <v>1.5597828510165205E-2</v>
      </c>
    </row>
    <row r="30" spans="1:18">
      <c r="B30" s="15"/>
      <c r="C30" s="15"/>
      <c r="D30" s="15"/>
      <c r="F30" s="16"/>
    </row>
    <row r="31" spans="1:18">
      <c r="A31" t="s">
        <v>36</v>
      </c>
      <c r="B31" s="15"/>
      <c r="C31" s="15"/>
      <c r="D31" s="15"/>
      <c r="F31" s="16"/>
      <c r="G31" s="12" t="s">
        <v>54</v>
      </c>
      <c r="H31" s="12"/>
      <c r="I31" s="12"/>
      <c r="J31" s="12"/>
    </row>
    <row r="32" spans="1:18" ht="66.75">
      <c r="A32" s="12" t="s">
        <v>49</v>
      </c>
      <c r="B32" s="24" t="s">
        <v>44</v>
      </c>
      <c r="C32" s="24" t="s">
        <v>45</v>
      </c>
      <c r="D32" t="s">
        <v>68</v>
      </c>
      <c r="E32" t="s">
        <v>63</v>
      </c>
      <c r="F32" t="s">
        <v>57</v>
      </c>
      <c r="G32" t="s">
        <v>61</v>
      </c>
      <c r="H32" t="s">
        <v>62</v>
      </c>
      <c r="I32" t="s">
        <v>57</v>
      </c>
      <c r="J32" t="s">
        <v>67</v>
      </c>
      <c r="N32" t="s">
        <v>57</v>
      </c>
      <c r="O32" t="s">
        <v>72</v>
      </c>
      <c r="P32" t="s">
        <v>73</v>
      </c>
      <c r="Q32" t="s">
        <v>74</v>
      </c>
    </row>
    <row r="33" spans="1:17">
      <c r="A33" s="13" t="s">
        <v>33</v>
      </c>
      <c r="B33" s="23" t="s">
        <v>34</v>
      </c>
      <c r="C33" s="23" t="s">
        <v>34</v>
      </c>
      <c r="D33" t="s">
        <v>69</v>
      </c>
      <c r="E33" t="s">
        <v>69</v>
      </c>
      <c r="G33" s="12" t="s">
        <v>65</v>
      </c>
      <c r="H33" t="s">
        <v>64</v>
      </c>
      <c r="I33" t="s">
        <v>66</v>
      </c>
      <c r="N33">
        <v>4.1731585199633705E-6</v>
      </c>
      <c r="O33">
        <v>5.3333333333333379E-6</v>
      </c>
      <c r="P33">
        <v>1.3999999999999995E-5</v>
      </c>
      <c r="Q33">
        <v>2.7999999999999989E-5</v>
      </c>
    </row>
    <row r="34" spans="1:17">
      <c r="A34" s="22">
        <v>0.05</v>
      </c>
      <c r="B34" s="22">
        <v>0.4</v>
      </c>
      <c r="C34" s="22">
        <v>0.442</v>
      </c>
      <c r="D34" s="15">
        <f t="shared" si="5"/>
        <v>4.1999999999999982E-2</v>
      </c>
      <c r="E34" s="16">
        <f t="shared" ref="E34:E43" si="9">(C34-B34)/$B$5</f>
        <v>1.3999999999999995E-5</v>
      </c>
      <c r="F34" s="16">
        <f>2*E34/($B$4*$B$2)</f>
        <v>4.0597361171523837E-6</v>
      </c>
      <c r="G34">
        <f t="shared" ref="G34:G43" si="10">A34*9.81*$H$11</f>
        <v>9.9424350000000009E-2</v>
      </c>
      <c r="H34">
        <f t="shared" ref="H34:H43" si="11">G34*($H$13/2)/$P$11</f>
        <v>287530.62202547624</v>
      </c>
      <c r="I34">
        <f>H34/($B$3*10^9)</f>
        <v>4.1731585199633705E-6</v>
      </c>
      <c r="J34">
        <f>(I34-F34)/I34</f>
        <v>2.7179030527693056E-2</v>
      </c>
      <c r="N34">
        <v>8.346317039926741E-6</v>
      </c>
      <c r="O34">
        <v>1.6000000000000013E-5</v>
      </c>
      <c r="P34">
        <v>2.899999999999999E-5</v>
      </c>
      <c r="Q34">
        <v>5.4666666666666663E-5</v>
      </c>
    </row>
    <row r="35" spans="1:17">
      <c r="A35" s="22">
        <v>0.1</v>
      </c>
      <c r="B35" s="15">
        <v>0.39600000000000002</v>
      </c>
      <c r="C35" s="22">
        <v>0.48299999999999998</v>
      </c>
      <c r="D35" s="15">
        <f t="shared" si="5"/>
        <v>8.6999999999999966E-2</v>
      </c>
      <c r="E35" s="16">
        <f t="shared" si="9"/>
        <v>2.899999999999999E-5</v>
      </c>
      <c r="F35" s="16">
        <f t="shared" ref="F35:F42" si="12">2*E35/($B$4*$B$2)</f>
        <v>8.4094533855299389E-6</v>
      </c>
      <c r="G35">
        <f t="shared" si="10"/>
        <v>0.19884870000000002</v>
      </c>
      <c r="H35">
        <f t="shared" si="11"/>
        <v>575061.24405095249</v>
      </c>
      <c r="I35">
        <f t="shared" ref="I35:I58" si="13">H35/($B$3*10^9)</f>
        <v>8.346317039926741E-6</v>
      </c>
      <c r="J35">
        <f t="shared" ref="J35:J43" si="14">(I35-F35)/I35</f>
        <v>-7.5645755248894856E-3</v>
      </c>
      <c r="N35">
        <v>1.6692634079853482E-5</v>
      </c>
      <c r="O35">
        <v>2.3666666666666651E-5</v>
      </c>
      <c r="P35">
        <v>5.4666666666666642E-5</v>
      </c>
      <c r="Q35">
        <v>1.1266666666666665E-4</v>
      </c>
    </row>
    <row r="36" spans="1:17">
      <c r="A36" s="22">
        <v>0.2</v>
      </c>
      <c r="B36" s="22">
        <v>0.40300000000000002</v>
      </c>
      <c r="C36" s="22">
        <v>0.56699999999999995</v>
      </c>
      <c r="D36" s="15">
        <f t="shared" si="5"/>
        <v>0.16399999999999992</v>
      </c>
      <c r="E36" s="16">
        <f t="shared" si="9"/>
        <v>5.4666666666666642E-5</v>
      </c>
      <c r="F36" s="16">
        <f t="shared" si="12"/>
        <v>1.5852302933642642E-5</v>
      </c>
      <c r="G36">
        <f t="shared" si="10"/>
        <v>0.39769740000000003</v>
      </c>
      <c r="H36">
        <f t="shared" si="11"/>
        <v>1150122.488101905</v>
      </c>
      <c r="I36">
        <f t="shared" si="13"/>
        <v>1.6692634079853482E-5</v>
      </c>
      <c r="J36">
        <f t="shared" si="14"/>
        <v>5.034143456274795E-2</v>
      </c>
      <c r="N36">
        <v>4.1731585199633703E-5</v>
      </c>
      <c r="O36">
        <v>6.7666666666666654E-5</v>
      </c>
      <c r="P36">
        <v>1.3966666666666666E-4</v>
      </c>
      <c r="Q36">
        <v>2.8133333333333331E-4</v>
      </c>
    </row>
    <row r="37" spans="1:17">
      <c r="A37" s="22">
        <v>0.5</v>
      </c>
      <c r="B37" s="22">
        <v>0.4</v>
      </c>
      <c r="C37" s="22">
        <v>0.81899999999999995</v>
      </c>
      <c r="D37" s="15">
        <f t="shared" si="5"/>
        <v>0.41899999999999993</v>
      </c>
      <c r="E37" s="16">
        <f t="shared" si="9"/>
        <v>1.3966666666666666E-4</v>
      </c>
      <c r="F37" s="16">
        <f t="shared" si="12"/>
        <v>4.0500700787782129E-5</v>
      </c>
      <c r="G37">
        <f t="shared" si="10"/>
        <v>0.99424350000000006</v>
      </c>
      <c r="H37">
        <f t="shared" si="11"/>
        <v>2875306.2202547621</v>
      </c>
      <c r="I37">
        <f>H37/($B$3*10^9)</f>
        <v>4.1731585199633703E-5</v>
      </c>
      <c r="J37">
        <f t="shared" si="14"/>
        <v>2.949527093119814E-2</v>
      </c>
      <c r="N37">
        <v>8.3463170399267406E-5</v>
      </c>
      <c r="O37">
        <v>1.3966666666666668E-4</v>
      </c>
      <c r="P37">
        <v>2.7933333333333331E-4</v>
      </c>
      <c r="Q37">
        <v>5.6599999999999999E-4</v>
      </c>
    </row>
    <row r="38" spans="1:17">
      <c r="A38" s="22">
        <v>1</v>
      </c>
      <c r="B38" s="22">
        <v>0.39600000000000002</v>
      </c>
      <c r="C38" s="22">
        <v>1.234</v>
      </c>
      <c r="D38" s="15">
        <f t="shared" si="5"/>
        <v>0.83799999999999997</v>
      </c>
      <c r="E38" s="16">
        <f t="shared" si="9"/>
        <v>2.7933333333333331E-4</v>
      </c>
      <c r="F38" s="16">
        <f t="shared" si="12"/>
        <v>8.1001401575564257E-5</v>
      </c>
      <c r="G38">
        <f t="shared" si="10"/>
        <v>1.9884870000000001</v>
      </c>
      <c r="H38">
        <f t="shared" si="11"/>
        <v>5750612.4405095242</v>
      </c>
      <c r="I38">
        <f t="shared" si="13"/>
        <v>8.3463170399267406E-5</v>
      </c>
      <c r="J38">
        <f t="shared" si="14"/>
        <v>2.949527093119814E-2</v>
      </c>
      <c r="N38">
        <v>8.3463170399267406E-5</v>
      </c>
      <c r="O38">
        <v>1.3766666666666663E-4</v>
      </c>
      <c r="P38">
        <v>2.8033333333333333E-4</v>
      </c>
      <c r="Q38">
        <v>5.6599999999999999E-4</v>
      </c>
    </row>
    <row r="39" spans="1:17">
      <c r="A39" s="22">
        <v>1</v>
      </c>
      <c r="B39" s="22">
        <v>0.39300000000000002</v>
      </c>
      <c r="C39" s="22">
        <v>1.234</v>
      </c>
      <c r="D39" s="15">
        <f t="shared" si="5"/>
        <v>0.84099999999999997</v>
      </c>
      <c r="E39" s="16">
        <f t="shared" si="9"/>
        <v>2.8033333333333333E-4</v>
      </c>
      <c r="F39" s="16">
        <f t="shared" si="12"/>
        <v>8.1291382726789434E-5</v>
      </c>
      <c r="G39">
        <f t="shared" si="10"/>
        <v>1.9884870000000001</v>
      </c>
      <c r="H39">
        <f t="shared" si="11"/>
        <v>5750612.4405095242</v>
      </c>
      <c r="I39">
        <f t="shared" si="13"/>
        <v>8.3463170399267406E-5</v>
      </c>
      <c r="J39">
        <f t="shared" si="14"/>
        <v>2.6020910325939825E-2</v>
      </c>
      <c r="N39">
        <v>8.3463170399267406E-5</v>
      </c>
      <c r="O39">
        <v>1.3733333333333336E-4</v>
      </c>
      <c r="P39">
        <v>2.7833333333333334E-4</v>
      </c>
      <c r="Q39">
        <v>5.6399999999999994E-4</v>
      </c>
    </row>
    <row r="40" spans="1:17">
      <c r="A40" s="22">
        <v>1</v>
      </c>
      <c r="B40" s="22">
        <v>0.39600000000000002</v>
      </c>
      <c r="C40" s="22">
        <v>1.2310000000000001</v>
      </c>
      <c r="D40" s="15">
        <f t="shared" si="5"/>
        <v>0.83500000000000008</v>
      </c>
      <c r="E40" s="16">
        <f t="shared" si="9"/>
        <v>2.7833333333333334E-4</v>
      </c>
      <c r="F40" s="16">
        <f t="shared" si="12"/>
        <v>8.0711420424339094E-5</v>
      </c>
      <c r="G40">
        <f t="shared" si="10"/>
        <v>1.9884870000000001</v>
      </c>
      <c r="H40">
        <f t="shared" si="11"/>
        <v>5750612.4405095242</v>
      </c>
      <c r="I40">
        <f t="shared" si="13"/>
        <v>8.3463170399267406E-5</v>
      </c>
      <c r="J40">
        <f t="shared" si="14"/>
        <v>3.2969631536456295E-2</v>
      </c>
      <c r="N40">
        <v>8.3463170399267406E-5</v>
      </c>
      <c r="O40">
        <v>1.3966666666666666E-4</v>
      </c>
      <c r="P40">
        <v>2.8233333333333338E-4</v>
      </c>
      <c r="Q40">
        <v>5.6499999999999996E-4</v>
      </c>
    </row>
    <row r="41" spans="1:17">
      <c r="A41" s="22">
        <v>1</v>
      </c>
      <c r="B41" s="22">
        <v>0.39</v>
      </c>
      <c r="C41" s="22">
        <v>1.2370000000000001</v>
      </c>
      <c r="D41" s="15">
        <f t="shared" si="5"/>
        <v>0.84700000000000009</v>
      </c>
      <c r="E41" s="16">
        <f t="shared" si="9"/>
        <v>2.8233333333333338E-4</v>
      </c>
      <c r="F41" s="16">
        <f>2*E41/($B$4*$B$2)</f>
        <v>8.1871345029239787E-5</v>
      </c>
      <c r="G41">
        <f t="shared" si="10"/>
        <v>1.9884870000000001</v>
      </c>
      <c r="H41">
        <f t="shared" si="11"/>
        <v>5750612.4405095242</v>
      </c>
      <c r="I41">
        <f t="shared" si="13"/>
        <v>8.3463170399267406E-5</v>
      </c>
      <c r="J41">
        <f t="shared" si="14"/>
        <v>1.9072189115423195E-2</v>
      </c>
      <c r="N41">
        <v>8.3463170399267406E-5</v>
      </c>
      <c r="O41">
        <v>1.4099999999999998E-4</v>
      </c>
      <c r="P41">
        <v>2.8133333333333331E-4</v>
      </c>
      <c r="Q41">
        <v>5.6500000000000007E-4</v>
      </c>
    </row>
    <row r="42" spans="1:17">
      <c r="A42" s="22">
        <v>1</v>
      </c>
      <c r="B42" s="22">
        <v>0.39</v>
      </c>
      <c r="C42" s="22">
        <v>1.234</v>
      </c>
      <c r="D42" s="15">
        <f t="shared" si="5"/>
        <v>0.84399999999999997</v>
      </c>
      <c r="E42" s="16">
        <f t="shared" si="9"/>
        <v>2.8133333333333331E-4</v>
      </c>
      <c r="F42" s="16">
        <f t="shared" si="12"/>
        <v>8.1581363878014597E-5</v>
      </c>
      <c r="G42">
        <f t="shared" si="10"/>
        <v>1.9884870000000001</v>
      </c>
      <c r="H42">
        <f t="shared" si="11"/>
        <v>5750612.4405095242</v>
      </c>
      <c r="I42">
        <f t="shared" si="13"/>
        <v>8.3463170399267406E-5</v>
      </c>
      <c r="J42">
        <f t="shared" si="14"/>
        <v>2.2546549720681673E-2</v>
      </c>
      <c r="N42">
        <v>8.3463170399267406E-5</v>
      </c>
      <c r="O42">
        <v>1.4166666666666665E-4</v>
      </c>
      <c r="P42">
        <v>2.8033333333333333E-4</v>
      </c>
      <c r="Q42">
        <v>5.6400000000000005E-4</v>
      </c>
    </row>
    <row r="43" spans="1:17">
      <c r="A43" s="23">
        <v>1</v>
      </c>
      <c r="B43" s="23">
        <v>0.39600000000000002</v>
      </c>
      <c r="C43" s="23">
        <v>1.2370000000000001</v>
      </c>
      <c r="D43" s="15">
        <f t="shared" si="5"/>
        <v>0.84100000000000008</v>
      </c>
      <c r="E43" s="16">
        <f t="shared" si="9"/>
        <v>2.8033333333333333E-4</v>
      </c>
      <c r="F43" s="16">
        <f>2*E43/($B$4*$B$2)</f>
        <v>8.1291382726789434E-5</v>
      </c>
      <c r="G43">
        <f t="shared" si="10"/>
        <v>1.9884870000000001</v>
      </c>
      <c r="H43">
        <f t="shared" si="11"/>
        <v>5750612.4405095242</v>
      </c>
      <c r="I43">
        <f t="shared" si="13"/>
        <v>8.3463170399267406E-5</v>
      </c>
      <c r="J43">
        <f t="shared" si="14"/>
        <v>2.6020910325939825E-2</v>
      </c>
    </row>
    <row r="44" spans="1:17">
      <c r="B44" s="15"/>
      <c r="C44" s="15"/>
      <c r="D44" s="15"/>
      <c r="F44" s="16"/>
    </row>
    <row r="45" spans="1:17">
      <c r="B45" s="15"/>
      <c r="C45" s="15"/>
      <c r="D45" s="15"/>
      <c r="F45" s="16"/>
      <c r="O45" cm="1">
        <f t="array" ref="O45:P45">LINEST(O33:O42,N33:N42)</f>
        <v>1.6883739401833429</v>
      </c>
      <c r="P45">
        <v>-1.5615070123686607E-6</v>
      </c>
    </row>
    <row r="46" spans="1:17">
      <c r="A46" t="s">
        <v>42</v>
      </c>
      <c r="B46" s="15"/>
      <c r="C46" s="15"/>
      <c r="D46" s="15"/>
      <c r="F46" s="16"/>
    </row>
    <row r="47" spans="1:17" ht="66.75">
      <c r="A47" s="12" t="s">
        <v>49</v>
      </c>
      <c r="B47" s="24" t="s">
        <v>44</v>
      </c>
      <c r="C47" s="24" t="s">
        <v>45</v>
      </c>
      <c r="D47" t="s">
        <v>68</v>
      </c>
      <c r="E47" t="s">
        <v>63</v>
      </c>
      <c r="F47" s="16" t="s">
        <v>57</v>
      </c>
    </row>
    <row r="48" spans="1:17">
      <c r="A48" s="13" t="s">
        <v>33</v>
      </c>
      <c r="B48" s="23" t="s">
        <v>34</v>
      </c>
      <c r="C48" s="23" t="s">
        <v>34</v>
      </c>
      <c r="D48" t="s">
        <v>69</v>
      </c>
      <c r="E48" t="s">
        <v>69</v>
      </c>
      <c r="F48" s="16"/>
    </row>
    <row r="49" spans="1:20">
      <c r="A49" s="22">
        <v>0.05</v>
      </c>
      <c r="B49" s="22">
        <v>0.27400000000000002</v>
      </c>
      <c r="C49" s="22">
        <v>0.35799999999999998</v>
      </c>
      <c r="D49" s="15">
        <f t="shared" si="5"/>
        <v>8.3999999999999964E-2</v>
      </c>
      <c r="E49" s="16">
        <f t="shared" ref="E49:E58" si="15">(C49-B49)/$B$5</f>
        <v>2.7999999999999989E-5</v>
      </c>
      <c r="F49" s="16">
        <f>E49/($B$4*$B$2)</f>
        <v>4.0597361171523837E-6</v>
      </c>
      <c r="G49">
        <f t="shared" ref="G49:G58" si="16">A49*9.81*$H$11</f>
        <v>9.9424350000000009E-2</v>
      </c>
      <c r="H49">
        <f t="shared" ref="H49:H58" si="17">G49*($H$13/2)/$P$11</f>
        <v>287530.62202547624</v>
      </c>
      <c r="I49">
        <f t="shared" si="13"/>
        <v>4.1731585199633705E-6</v>
      </c>
      <c r="J49">
        <f>(I49-F49)/I49*100</f>
        <v>2.7179030527693055</v>
      </c>
    </row>
    <row r="50" spans="1:20">
      <c r="A50" s="22">
        <v>0.1</v>
      </c>
      <c r="B50" s="22">
        <v>0.27100000000000002</v>
      </c>
      <c r="C50" s="22">
        <v>0.435</v>
      </c>
      <c r="D50" s="15">
        <f t="shared" si="5"/>
        <v>0.16399999999999998</v>
      </c>
      <c r="E50" s="16">
        <f t="shared" si="15"/>
        <v>5.4666666666666663E-5</v>
      </c>
      <c r="F50" s="16">
        <f t="shared" ref="F50:F58" si="18">E50/($B$4*$B$2)</f>
        <v>7.9261514668213242E-6</v>
      </c>
      <c r="G50">
        <f t="shared" si="16"/>
        <v>0.19884870000000002</v>
      </c>
      <c r="H50">
        <f t="shared" si="17"/>
        <v>575061.24405095249</v>
      </c>
      <c r="I50">
        <f t="shared" si="13"/>
        <v>8.346317039926741E-6</v>
      </c>
      <c r="J50">
        <f t="shared" ref="J50:J58" si="19">(I50-F50)/I50*100</f>
        <v>5.0341434562747551</v>
      </c>
    </row>
    <row r="51" spans="1:20">
      <c r="A51" s="22">
        <v>0.2</v>
      </c>
      <c r="B51" s="22">
        <v>0.27100000000000002</v>
      </c>
      <c r="C51" s="22">
        <v>0.60899999999999999</v>
      </c>
      <c r="D51" s="15">
        <f t="shared" si="5"/>
        <v>0.33799999999999997</v>
      </c>
      <c r="E51" s="16">
        <f t="shared" si="15"/>
        <v>1.1266666666666665E-4</v>
      </c>
      <c r="F51" s="16">
        <f t="shared" si="18"/>
        <v>1.6335604852351261E-5</v>
      </c>
      <c r="G51">
        <f t="shared" si="16"/>
        <v>0.39769740000000003</v>
      </c>
      <c r="H51">
        <f t="shared" si="17"/>
        <v>1150122.488101905</v>
      </c>
      <c r="I51">
        <f t="shared" si="13"/>
        <v>1.6692634079853482E-5</v>
      </c>
      <c r="J51">
        <f t="shared" si="19"/>
        <v>2.1388429518929128</v>
      </c>
    </row>
    <row r="52" spans="1:20">
      <c r="A52" s="22">
        <v>0.5</v>
      </c>
      <c r="B52" s="22">
        <v>0.27100000000000002</v>
      </c>
      <c r="C52" s="22">
        <v>1.115</v>
      </c>
      <c r="D52" s="15">
        <f t="shared" si="5"/>
        <v>0.84399999999999997</v>
      </c>
      <c r="E52" s="16">
        <f t="shared" si="15"/>
        <v>2.8133333333333331E-4</v>
      </c>
      <c r="F52" s="16">
        <f t="shared" si="18"/>
        <v>4.0790681939007298E-5</v>
      </c>
      <c r="G52">
        <f t="shared" si="16"/>
        <v>0.99424350000000006</v>
      </c>
      <c r="H52">
        <f t="shared" si="17"/>
        <v>2875306.2202547621</v>
      </c>
      <c r="I52">
        <f t="shared" si="13"/>
        <v>4.1731585199633703E-5</v>
      </c>
      <c r="J52">
        <f t="shared" si="19"/>
        <v>2.2546549720681672</v>
      </c>
    </row>
    <row r="53" spans="1:20">
      <c r="A53" s="22">
        <v>1</v>
      </c>
      <c r="B53" s="22">
        <v>0.27100000000000002</v>
      </c>
      <c r="C53" s="22">
        <v>1.9690000000000001</v>
      </c>
      <c r="D53" s="15">
        <f t="shared" si="5"/>
        <v>1.698</v>
      </c>
      <c r="E53" s="16">
        <f t="shared" si="15"/>
        <v>5.6599999999999999E-4</v>
      </c>
      <c r="F53" s="16">
        <f t="shared" si="18"/>
        <v>8.206466579672322E-5</v>
      </c>
      <c r="G53">
        <f t="shared" si="16"/>
        <v>1.9884870000000001</v>
      </c>
      <c r="H53">
        <f t="shared" si="17"/>
        <v>5750612.4405095242</v>
      </c>
      <c r="I53">
        <f t="shared" si="13"/>
        <v>8.3463170399267406E-5</v>
      </c>
      <c r="J53">
        <f t="shared" si="19"/>
        <v>1.6755948711917867</v>
      </c>
    </row>
    <row r="54" spans="1:20">
      <c r="A54" s="22">
        <v>1</v>
      </c>
      <c r="B54" s="22">
        <v>0.27400000000000002</v>
      </c>
      <c r="C54" s="22">
        <v>1.972</v>
      </c>
      <c r="D54" s="15">
        <f t="shared" si="5"/>
        <v>1.698</v>
      </c>
      <c r="E54" s="16">
        <f t="shared" si="15"/>
        <v>5.6599999999999999E-4</v>
      </c>
      <c r="F54" s="16">
        <f t="shared" si="18"/>
        <v>8.206466579672322E-5</v>
      </c>
      <c r="G54">
        <f t="shared" si="16"/>
        <v>1.9884870000000001</v>
      </c>
      <c r="H54">
        <f t="shared" si="17"/>
        <v>5750612.4405095242</v>
      </c>
      <c r="I54">
        <f t="shared" si="13"/>
        <v>8.3463170399267406E-5</v>
      </c>
      <c r="J54">
        <f t="shared" si="19"/>
        <v>1.6755948711917867</v>
      </c>
    </row>
    <row r="55" spans="1:20">
      <c r="A55" s="22">
        <v>1</v>
      </c>
      <c r="B55" s="22">
        <v>0.27400000000000002</v>
      </c>
      <c r="C55" s="22">
        <v>1.966</v>
      </c>
      <c r="D55" s="15">
        <f t="shared" si="5"/>
        <v>1.6919999999999999</v>
      </c>
      <c r="E55" s="16">
        <f t="shared" si="15"/>
        <v>5.6399999999999994E-4</v>
      </c>
      <c r="F55" s="16">
        <f t="shared" si="18"/>
        <v>8.1774684645498044E-5</v>
      </c>
      <c r="G55">
        <f t="shared" si="16"/>
        <v>1.9884870000000001</v>
      </c>
      <c r="H55">
        <f t="shared" si="17"/>
        <v>5750612.4405095242</v>
      </c>
      <c r="I55">
        <f t="shared" si="13"/>
        <v>8.3463170399267406E-5</v>
      </c>
      <c r="J55">
        <f t="shared" si="19"/>
        <v>2.0230309317176185</v>
      </c>
      <c r="N55" s="27"/>
    </row>
    <row r="56" spans="1:20">
      <c r="A56" s="22">
        <v>1</v>
      </c>
      <c r="B56" s="22">
        <v>0.27100000000000002</v>
      </c>
      <c r="C56" s="22">
        <v>1.966</v>
      </c>
      <c r="D56" s="15">
        <f t="shared" si="5"/>
        <v>1.6949999999999998</v>
      </c>
      <c r="E56" s="16">
        <f t="shared" si="15"/>
        <v>5.6499999999999996E-4</v>
      </c>
      <c r="F56" s="16">
        <f t="shared" si="18"/>
        <v>8.1919675221110632E-5</v>
      </c>
      <c r="G56">
        <f t="shared" si="16"/>
        <v>1.9884870000000001</v>
      </c>
      <c r="H56">
        <f t="shared" si="17"/>
        <v>5750612.4405095242</v>
      </c>
      <c r="I56">
        <f t="shared" si="13"/>
        <v>8.3463170399267406E-5</v>
      </c>
      <c r="J56">
        <f t="shared" si="19"/>
        <v>1.8493129014547027</v>
      </c>
    </row>
    <row r="57" spans="1:20">
      <c r="A57" s="22">
        <v>1</v>
      </c>
      <c r="B57" s="22">
        <v>0.27400000000000002</v>
      </c>
      <c r="C57" s="22">
        <v>1.9690000000000001</v>
      </c>
      <c r="D57" s="15">
        <f t="shared" si="5"/>
        <v>1.6950000000000001</v>
      </c>
      <c r="E57" s="16">
        <f t="shared" si="15"/>
        <v>5.6500000000000007E-4</v>
      </c>
      <c r="F57" s="16">
        <f t="shared" si="18"/>
        <v>8.1919675221110645E-5</v>
      </c>
      <c r="G57">
        <f t="shared" si="16"/>
        <v>1.9884870000000001</v>
      </c>
      <c r="H57">
        <f t="shared" si="17"/>
        <v>5750612.4405095242</v>
      </c>
      <c r="I57">
        <f t="shared" si="13"/>
        <v>8.3463170399267406E-5</v>
      </c>
      <c r="J57">
        <f t="shared" si="19"/>
        <v>1.8493129014546865</v>
      </c>
    </row>
    <row r="58" spans="1:20">
      <c r="A58" s="23">
        <v>1</v>
      </c>
      <c r="B58" s="23">
        <v>0.27700000000000002</v>
      </c>
      <c r="C58" s="23">
        <v>1.9690000000000001</v>
      </c>
      <c r="D58" s="15">
        <f t="shared" si="5"/>
        <v>1.6920000000000002</v>
      </c>
      <c r="E58" s="16">
        <f t="shared" si="15"/>
        <v>5.6400000000000005E-4</v>
      </c>
      <c r="F58" s="16">
        <f t="shared" si="18"/>
        <v>8.1774684645498057E-5</v>
      </c>
      <c r="G58">
        <f t="shared" si="16"/>
        <v>1.9884870000000001</v>
      </c>
      <c r="H58">
        <f t="shared" si="17"/>
        <v>5750612.4405095242</v>
      </c>
      <c r="I58">
        <f t="shared" si="13"/>
        <v>8.3463170399267406E-5</v>
      </c>
      <c r="J58">
        <f t="shared" si="19"/>
        <v>2.0230309317176021</v>
      </c>
    </row>
    <row r="62" spans="1:20"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55</v>
      </c>
      <c r="H62" t="s">
        <v>78</v>
      </c>
      <c r="I62" t="s">
        <v>79</v>
      </c>
      <c r="O62" t="s">
        <v>78</v>
      </c>
      <c r="P62" t="s">
        <v>79</v>
      </c>
      <c r="Q62" t="s">
        <v>80</v>
      </c>
      <c r="R62" t="s">
        <v>81</v>
      </c>
      <c r="S62" t="s">
        <v>82</v>
      </c>
    </row>
    <row r="63" spans="1:20">
      <c r="A63" t="s">
        <v>26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59</v>
      </c>
      <c r="H63" t="s">
        <v>59</v>
      </c>
      <c r="N63" t="s">
        <v>26</v>
      </c>
      <c r="O63" t="s">
        <v>59</v>
      </c>
      <c r="Q63" t="s">
        <v>59</v>
      </c>
      <c r="R63" t="s">
        <v>59</v>
      </c>
      <c r="S63" t="s">
        <v>59</v>
      </c>
    </row>
    <row r="64" spans="1:20">
      <c r="A64" t="s">
        <v>75</v>
      </c>
      <c r="B64">
        <v>203.5</v>
      </c>
      <c r="C64">
        <v>202.5</v>
      </c>
      <c r="D64">
        <v>202.5</v>
      </c>
      <c r="E64">
        <v>202.5</v>
      </c>
      <c r="F64">
        <v>202.5</v>
      </c>
      <c r="G64">
        <v>202.7</v>
      </c>
      <c r="H64">
        <f>_xlfn.STDEV.S(B64:G64)</f>
        <v>0.39999999999999997</v>
      </c>
      <c r="I64">
        <f>-_xlfn.T.INV(0.025, 4)</f>
        <v>2.7764451051977934</v>
      </c>
      <c r="J64">
        <f>I64*H64/SQRT(5)</f>
        <v>0.49666559928150561</v>
      </c>
      <c r="N64" t="s">
        <v>75</v>
      </c>
      <c r="O64">
        <v>0.39999999999999997</v>
      </c>
      <c r="P64" s="25">
        <v>2.7764451051977934</v>
      </c>
      <c r="Q64" s="20">
        <v>0.49666559928150561</v>
      </c>
      <c r="R64">
        <v>1</v>
      </c>
      <c r="S64" s="18">
        <f>SQRT(R64^2+Q64^2)</f>
        <v>1.1165467824993529</v>
      </c>
      <c r="T64">
        <v>1.11654678249935</v>
      </c>
    </row>
    <row r="65" spans="1:20">
      <c r="A65" t="s">
        <v>76</v>
      </c>
      <c r="B65">
        <v>12.81</v>
      </c>
      <c r="C65">
        <v>12.813000000000001</v>
      </c>
      <c r="D65">
        <v>12.811</v>
      </c>
      <c r="E65">
        <v>12.811999999999999</v>
      </c>
      <c r="F65">
        <v>12.811999999999999</v>
      </c>
      <c r="G65">
        <v>12.811599999999999</v>
      </c>
      <c r="H65">
        <f t="shared" ref="H65:H66" si="20">_xlfn.STDEV.S(B65:G65)</f>
        <v>1.0198039027184795E-3</v>
      </c>
      <c r="I65">
        <f t="shared" ref="I65:I66" si="21">-_xlfn.T.INV(0.025, 4)</f>
        <v>2.7764451051977934</v>
      </c>
      <c r="J65">
        <f>I65*H65/SQRT(5)</f>
        <v>1.2662537912332297E-3</v>
      </c>
      <c r="N65" t="s">
        <v>76</v>
      </c>
      <c r="O65" s="15">
        <v>1.0198039027184795E-3</v>
      </c>
      <c r="P65" s="25">
        <v>2.7764451051977934</v>
      </c>
      <c r="Q65" s="15">
        <v>1.2662537912332297E-3</v>
      </c>
      <c r="R65">
        <v>3.0000000000000001E-3</v>
      </c>
      <c r="S65" s="15">
        <f t="shared" ref="S65:S66" si="22">SQRT(R65^2+Q65^2)</f>
        <v>3.2562860230349127E-3</v>
      </c>
      <c r="T65">
        <v>3.2562860230349101E-3</v>
      </c>
    </row>
    <row r="66" spans="1:20">
      <c r="A66" t="s">
        <v>77</v>
      </c>
      <c r="B66">
        <v>12.726000000000001</v>
      </c>
      <c r="C66">
        <v>12.728999999999999</v>
      </c>
      <c r="D66">
        <v>12.724</v>
      </c>
      <c r="E66">
        <v>12.724</v>
      </c>
      <c r="F66">
        <v>12.725</v>
      </c>
      <c r="G66">
        <v>12.725600000000002</v>
      </c>
      <c r="H66">
        <f t="shared" si="20"/>
        <v>1.8547236990988406E-3</v>
      </c>
      <c r="I66">
        <f t="shared" si="21"/>
        <v>2.7764451051977934</v>
      </c>
      <c r="J66">
        <f t="shared" ref="J66" si="23">I66*H66/SQRT(5)</f>
        <v>2.3029436437863415E-3</v>
      </c>
      <c r="N66" t="s">
        <v>77</v>
      </c>
      <c r="O66" s="15">
        <v>1.8547236990988406E-3</v>
      </c>
      <c r="P66" s="25">
        <v>2.7764451051977934</v>
      </c>
      <c r="Q66" s="15">
        <v>2.3029436437863415E-3</v>
      </c>
      <c r="R66">
        <v>3.0000000000000001E-3</v>
      </c>
      <c r="S66" s="15">
        <f t="shared" si="22"/>
        <v>3.782003361507749E-3</v>
      </c>
      <c r="T66">
        <v>3.7820033615077499E-3</v>
      </c>
    </row>
    <row r="70" spans="1:20">
      <c r="P70">
        <v>1.1165467824993529</v>
      </c>
    </row>
    <row r="71" spans="1:20">
      <c r="O71" t="s">
        <v>78</v>
      </c>
      <c r="P71" t="s">
        <v>79</v>
      </c>
      <c r="Q71" t="s">
        <v>80</v>
      </c>
      <c r="R71" t="s">
        <v>81</v>
      </c>
      <c r="S71" t="s">
        <v>82</v>
      </c>
    </row>
    <row r="72" spans="1:20">
      <c r="K72" t="s">
        <v>56</v>
      </c>
      <c r="N72" t="s">
        <v>26</v>
      </c>
      <c r="O72" t="s">
        <v>59</v>
      </c>
      <c r="Q72" t="s">
        <v>59</v>
      </c>
      <c r="R72" t="s">
        <v>59</v>
      </c>
      <c r="S72" t="s">
        <v>59</v>
      </c>
    </row>
    <row r="73" spans="1:20">
      <c r="N73" t="s">
        <v>68</v>
      </c>
      <c r="O73">
        <f>_xlfn.STDEV.S(D53:D58)</f>
        <v>2.6832815729997002E-3</v>
      </c>
      <c r="P73" s="25">
        <f>-_xlfn.T.INV(0.025, 5)</f>
        <v>2.570581835636315</v>
      </c>
      <c r="Q73" s="16">
        <f>O73*P73/SQRT(6)</f>
        <v>2.8159313145820447E-3</v>
      </c>
      <c r="R73" s="26">
        <f>3.3/2^10</f>
        <v>3.2226562499999998E-3</v>
      </c>
      <c r="S73" s="26">
        <f>SQRT(R73^2+Q73^2)</f>
        <v>4.2796007376982989E-3</v>
      </c>
    </row>
    <row r="74" spans="1:20">
      <c r="O74" s="15"/>
      <c r="P74" s="25"/>
      <c r="Q74" s="15"/>
      <c r="S74" s="15"/>
    </row>
    <row r="75" spans="1:20">
      <c r="H75" s="17"/>
      <c r="I75" s="25"/>
      <c r="O75" s="15"/>
      <c r="P75" s="25"/>
      <c r="Q75" s="15"/>
      <c r="S75" s="15"/>
    </row>
    <row r="76" spans="1:20">
      <c r="K76" t="s">
        <v>83</v>
      </c>
      <c r="L76" t="s">
        <v>82</v>
      </c>
      <c r="M76" t="s">
        <v>85</v>
      </c>
    </row>
    <row r="77" spans="1:20">
      <c r="J77" t="s">
        <v>63</v>
      </c>
      <c r="K77" s="16">
        <f>AVERAGE(E53:E58)</f>
        <v>5.6499999999999996E-4</v>
      </c>
      <c r="L77">
        <f>SQRT((S73*1/B5)^2+(1/3000*0.01*AVERAGE(E49:E58)))</f>
        <v>3.592942925989178E-5</v>
      </c>
      <c r="M77">
        <f>1/(K78*K79)*L77</f>
        <v>5.2094286298233694E-6</v>
      </c>
      <c r="N77" s="26"/>
    </row>
    <row r="78" spans="1:20">
      <c r="J78" t="s">
        <v>84</v>
      </c>
      <c r="K78">
        <v>2.09</v>
      </c>
      <c r="L78">
        <v>0.02</v>
      </c>
      <c r="M78">
        <f>-K77/(K78^2*K79)*L78</f>
        <v>-7.8392033704412099E-7</v>
      </c>
      <c r="N78" s="26"/>
    </row>
    <row r="79" spans="1:20">
      <c r="J79" t="s">
        <v>86</v>
      </c>
      <c r="K79">
        <v>3.3</v>
      </c>
      <c r="L79" s="15">
        <f>0.5/100*K79</f>
        <v>1.6500000000000001E-2</v>
      </c>
      <c r="M79">
        <f>-K77/(K78*K79)*L79</f>
        <v>-1.3516746411483256E-6</v>
      </c>
    </row>
    <row r="82" spans="10:11">
      <c r="J82" t="s">
        <v>87</v>
      </c>
      <c r="K82">
        <f>SQRT(M77^2+M78^2+M79^2)</f>
        <v>5.438722467600108E-6</v>
      </c>
    </row>
    <row r="83" spans="10:11">
      <c r="J83" t="s">
        <v>57</v>
      </c>
      <c r="K83" s="16">
        <f>AVERAGE(F53:F58)</f>
        <v>8.1919675221110632E-5</v>
      </c>
    </row>
    <row r="84" spans="10:11">
      <c r="J84" t="s">
        <v>89</v>
      </c>
      <c r="K84">
        <f>I58</f>
        <v>8.3463170399267406E-5</v>
      </c>
    </row>
    <row r="85" spans="10:11">
      <c r="J85" t="s">
        <v>88</v>
      </c>
      <c r="K85" s="29">
        <f>ABS(K84-K83)/K84</f>
        <v>1.8493129014547027E-2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B6B2-3C48-4495-A35D-8DE63E8229D2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Olfert</dc:creator>
  <cp:lastModifiedBy>Alex Diep</cp:lastModifiedBy>
  <dcterms:created xsi:type="dcterms:W3CDTF">2022-12-08T00:14:46Z</dcterms:created>
  <dcterms:modified xsi:type="dcterms:W3CDTF">2023-10-24T19:18:11Z</dcterms:modified>
</cp:coreProperties>
</file>