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1 - Pumps\"/>
    </mc:Choice>
  </mc:AlternateContent>
  <xr:revisionPtr revIDLastSave="0" documentId="13_ncr:1_{E343D8E3-6D1C-4F5B-9F09-A3E768280B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udent Info and Rubric (2)" sheetId="5" r:id="rId1"/>
    <sheet name="Student Info and Rubric" sheetId="4" state="hidden" r:id="rId2"/>
  </sheets>
  <definedNames>
    <definedName name="_xlnm._FilterDatabase" localSheetId="0" hidden="1">'Student Info and Rubric (2)'!$B$14:$L$14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6" i="5" l="1"/>
  <c r="AL27" i="5"/>
  <c r="AL16" i="5"/>
  <c r="AI20" i="5"/>
  <c r="AF16" i="5"/>
  <c r="AK17" i="5"/>
  <c r="AM17" i="5" s="1"/>
  <c r="AK18" i="5"/>
  <c r="AK19" i="5"/>
  <c r="AK20" i="5"/>
  <c r="AK21" i="5"/>
  <c r="AM21" i="5" s="1"/>
  <c r="AK22" i="5"/>
  <c r="AK23" i="5"/>
  <c r="AK24" i="5"/>
  <c r="AM24" i="5" s="1"/>
  <c r="AK25" i="5"/>
  <c r="AM25" i="5" s="1"/>
  <c r="AK26" i="5"/>
  <c r="AK27" i="5"/>
  <c r="AK28" i="5"/>
  <c r="AK29" i="5"/>
  <c r="AM29" i="5" s="1"/>
  <c r="AK30" i="5"/>
  <c r="AK31" i="5"/>
  <c r="AK32" i="5"/>
  <c r="AM32" i="5" s="1"/>
  <c r="AK33" i="5"/>
  <c r="AM33" i="5" s="1"/>
  <c r="AK34" i="5"/>
  <c r="AK35" i="5"/>
  <c r="AK36" i="5"/>
  <c r="AK37" i="5"/>
  <c r="AM37" i="5" s="1"/>
  <c r="AK38" i="5"/>
  <c r="AK39" i="5"/>
  <c r="AK40" i="5"/>
  <c r="AM40" i="5" s="1"/>
  <c r="AK41" i="5"/>
  <c r="AM41" i="5" s="1"/>
  <c r="AK42" i="5"/>
  <c r="AK43" i="5"/>
  <c r="AK44" i="5"/>
  <c r="AK45" i="5"/>
  <c r="AM45" i="5" s="1"/>
  <c r="AK46" i="5"/>
  <c r="AK47" i="5"/>
  <c r="AK48" i="5"/>
  <c r="AM48" i="5" s="1"/>
  <c r="AK49" i="5"/>
  <c r="AM49" i="5" s="1"/>
  <c r="AK16" i="5"/>
  <c r="AM18" i="5"/>
  <c r="AM19" i="5"/>
  <c r="AM20" i="5"/>
  <c r="AM22" i="5"/>
  <c r="AM23" i="5"/>
  <c r="AM26" i="5"/>
  <c r="AM27" i="5"/>
  <c r="AM28" i="5"/>
  <c r="AM30" i="5"/>
  <c r="AM31" i="5"/>
  <c r="AM34" i="5"/>
  <c r="AM35" i="5"/>
  <c r="AM36" i="5"/>
  <c r="AM38" i="5"/>
  <c r="AM39" i="5"/>
  <c r="AM42" i="5"/>
  <c r="AM43" i="5"/>
  <c r="AM44" i="5"/>
  <c r="AM46" i="5"/>
  <c r="AM47" i="5"/>
  <c r="AI47" i="5"/>
  <c r="AL47" i="5" s="1"/>
  <c r="AI48" i="5"/>
  <c r="AL48" i="5" s="1"/>
  <c r="AH47" i="5"/>
  <c r="AH48" i="5"/>
  <c r="AH49" i="5"/>
  <c r="AI49" i="5" s="1"/>
  <c r="AL49" i="5" s="1"/>
  <c r="AH46" i="5"/>
  <c r="AI46" i="5" s="1"/>
  <c r="AL46" i="5" s="1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G42" i="5"/>
  <c r="AG16" i="5"/>
  <c r="AF42" i="5"/>
  <c r="AF17" i="5"/>
  <c r="AF18" i="5"/>
  <c r="AF19" i="5"/>
  <c r="AF20" i="5"/>
  <c r="AF21" i="5"/>
  <c r="AF22" i="5"/>
  <c r="AF23" i="5"/>
  <c r="AF24" i="5"/>
  <c r="AF25" i="5"/>
  <c r="AF26" i="5"/>
  <c r="AF27" i="5"/>
  <c r="AD46" i="5"/>
  <c r="AE46" i="5"/>
  <c r="AD47" i="5"/>
  <c r="AE47" i="5"/>
  <c r="AD48" i="5"/>
  <c r="AE48" i="5"/>
  <c r="AD49" i="5"/>
  <c r="AE49" i="5"/>
  <c r="Y45" i="5"/>
  <c r="Y46" i="5"/>
  <c r="Y47" i="5"/>
  <c r="Y48" i="5"/>
  <c r="Y49" i="5"/>
  <c r="Y44" i="5"/>
  <c r="X45" i="5"/>
  <c r="X46" i="5"/>
  <c r="X47" i="5"/>
  <c r="X48" i="5"/>
  <c r="X49" i="5"/>
  <c r="V45" i="5"/>
  <c r="V46" i="5"/>
  <c r="V47" i="5"/>
  <c r="V48" i="5"/>
  <c r="V49" i="5"/>
  <c r="U46" i="5"/>
  <c r="U47" i="5"/>
  <c r="U48" i="5"/>
  <c r="U49" i="5"/>
  <c r="T45" i="5"/>
  <c r="T46" i="5"/>
  <c r="T47" i="5"/>
  <c r="T48" i="5"/>
  <c r="T49" i="5"/>
  <c r="Q46" i="5"/>
  <c r="P46" i="5"/>
  <c r="S46" i="5"/>
  <c r="R46" i="5"/>
  <c r="P47" i="5"/>
  <c r="Q47" i="5"/>
  <c r="R47" i="5"/>
  <c r="S47" i="5"/>
  <c r="P48" i="5"/>
  <c r="Q48" i="5"/>
  <c r="S48" i="5" s="1"/>
  <c r="R48" i="5"/>
  <c r="P49" i="5"/>
  <c r="Q49" i="5"/>
  <c r="R49" i="5"/>
  <c r="S49" i="5"/>
  <c r="O46" i="5"/>
  <c r="O47" i="5"/>
  <c r="O48" i="5"/>
  <c r="O49" i="5"/>
  <c r="N47" i="5"/>
  <c r="N48" i="5"/>
  <c r="N49" i="5"/>
  <c r="N46" i="5"/>
  <c r="M46" i="5"/>
  <c r="M47" i="5"/>
  <c r="M48" i="5"/>
  <c r="M49" i="5"/>
  <c r="L46" i="5"/>
  <c r="L47" i="5"/>
  <c r="L48" i="5"/>
  <c r="L49" i="5"/>
  <c r="K44" i="5"/>
  <c r="K46" i="5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AG17" i="5" s="1"/>
  <c r="M18" i="5"/>
  <c r="AG18" i="5" s="1"/>
  <c r="M19" i="5"/>
  <c r="M20" i="5"/>
  <c r="M21" i="5"/>
  <c r="AG21" i="5" s="1"/>
  <c r="M22" i="5"/>
  <c r="M23" i="5"/>
  <c r="M24" i="5"/>
  <c r="M25" i="5"/>
  <c r="AG25" i="5" s="1"/>
  <c r="M26" i="5"/>
  <c r="N26" i="5" s="1"/>
  <c r="M27" i="5"/>
  <c r="M28" i="5"/>
  <c r="M29" i="5"/>
  <c r="AG29" i="5" s="1"/>
  <c r="M30" i="5"/>
  <c r="M31" i="5"/>
  <c r="M32" i="5"/>
  <c r="M33" i="5"/>
  <c r="AG33" i="5" s="1"/>
  <c r="M34" i="5"/>
  <c r="AG34" i="5" s="1"/>
  <c r="M35" i="5"/>
  <c r="M36" i="5"/>
  <c r="M37" i="5"/>
  <c r="AG37" i="5" s="1"/>
  <c r="M38" i="5"/>
  <c r="M39" i="5"/>
  <c r="M40" i="5"/>
  <c r="M41" i="5"/>
  <c r="AG41" i="5" s="1"/>
  <c r="M42" i="5"/>
  <c r="M43" i="5"/>
  <c r="M44" i="5"/>
  <c r="M45" i="5"/>
  <c r="M16" i="5"/>
  <c r="L45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J21" i="5"/>
  <c r="K21" i="5" s="1"/>
  <c r="J22" i="5"/>
  <c r="K2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J43" i="5"/>
  <c r="K43" i="5" s="1"/>
  <c r="J44" i="5"/>
  <c r="L42" i="4"/>
  <c r="L43" i="4"/>
  <c r="L44" i="4"/>
  <c r="L45" i="4"/>
  <c r="L46" i="4"/>
  <c r="L47" i="4"/>
  <c r="L48" i="4"/>
  <c r="L49" i="4"/>
  <c r="L50" i="4"/>
  <c r="L51" i="4"/>
  <c r="L52" i="4"/>
  <c r="L53" i="4"/>
  <c r="C52" i="5"/>
  <c r="C53" i="5" s="1"/>
  <c r="U41" i="5"/>
  <c r="V41" i="5" s="1"/>
  <c r="X41" i="5" s="1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V33" i="5" s="1"/>
  <c r="X33" i="5" s="1"/>
  <c r="Y33" i="5" s="1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V25" i="5" s="1"/>
  <c r="X25" i="5" s="1"/>
  <c r="Y25" i="5" s="1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V16" i="5" s="1"/>
  <c r="X16" i="5" s="1"/>
  <c r="J16" i="5"/>
  <c r="K16" i="5" s="1"/>
  <c r="B8" i="5"/>
  <c r="Q34" i="5" s="1"/>
  <c r="J7" i="5"/>
  <c r="B6" i="5"/>
  <c r="B5" i="5"/>
  <c r="L54" i="4"/>
  <c r="L55" i="4"/>
  <c r="L56" i="4"/>
  <c r="L57" i="4"/>
  <c r="L58" i="4"/>
  <c r="L59" i="4"/>
  <c r="L60" i="4"/>
  <c r="Y17" i="4"/>
  <c r="Y18" i="4"/>
  <c r="Y19" i="4"/>
  <c r="Y20" i="4"/>
  <c r="Y21" i="4"/>
  <c r="Y22" i="4"/>
  <c r="Y23" i="4"/>
  <c r="Y24" i="4"/>
  <c r="Y25" i="4"/>
  <c r="Y26" i="4"/>
  <c r="Y27" i="4"/>
  <c r="Y28" i="4"/>
  <c r="Z28" i="4" s="1"/>
  <c r="Y29" i="4"/>
  <c r="Z29" i="4" s="1"/>
  <c r="Y30" i="4"/>
  <c r="Z30" i="4" s="1"/>
  <c r="Y31" i="4"/>
  <c r="Z31" i="4" s="1"/>
  <c r="Y32" i="4"/>
  <c r="Z32" i="4" s="1"/>
  <c r="Y33" i="4"/>
  <c r="Z33" i="4" s="1"/>
  <c r="Y34" i="4"/>
  <c r="Z34" i="4" s="1"/>
  <c r="Y35" i="4"/>
  <c r="Z35" i="4" s="1"/>
  <c r="Y36" i="4"/>
  <c r="Z36" i="4" s="1"/>
  <c r="Y37" i="4"/>
  <c r="Z37" i="4" s="1"/>
  <c r="Y38" i="4"/>
  <c r="Z38" i="4" s="1"/>
  <c r="Y39" i="4"/>
  <c r="Z39" i="4" s="1"/>
  <c r="Y40" i="4"/>
  <c r="Z40" i="4" s="1"/>
  <c r="Y41" i="4"/>
  <c r="Z41" i="4" s="1"/>
  <c r="Y16" i="4"/>
  <c r="R17" i="4"/>
  <c r="R18" i="4"/>
  <c r="R19" i="4"/>
  <c r="S19" i="4" s="1"/>
  <c r="U19" i="4" s="1"/>
  <c r="V19" i="4" s="1"/>
  <c r="R20" i="4"/>
  <c r="R21" i="4"/>
  <c r="R22" i="4"/>
  <c r="R23" i="4"/>
  <c r="S23" i="4" s="1"/>
  <c r="U23" i="4" s="1"/>
  <c r="V23" i="4" s="1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16" i="4"/>
  <c r="Q17" i="4"/>
  <c r="S17" i="4" s="1"/>
  <c r="U17" i="4" s="1"/>
  <c r="Q18" i="4"/>
  <c r="S18" i="4" s="1"/>
  <c r="U18" i="4" s="1"/>
  <c r="Q20" i="4"/>
  <c r="Q21" i="4"/>
  <c r="Q22" i="4"/>
  <c r="Q24" i="4"/>
  <c r="S24" i="4" s="1"/>
  <c r="U24" i="4" s="1"/>
  <c r="Q25" i="4"/>
  <c r="S25" i="4" s="1"/>
  <c r="U25" i="4" s="1"/>
  <c r="Q26" i="4"/>
  <c r="S26" i="4" s="1"/>
  <c r="U26" i="4" s="1"/>
  <c r="Q27" i="4"/>
  <c r="Q28" i="4"/>
  <c r="Q29" i="4"/>
  <c r="Q30" i="4"/>
  <c r="Q31" i="4"/>
  <c r="S31" i="4" s="1"/>
  <c r="U31" i="4" s="1"/>
  <c r="V31" i="4" s="1"/>
  <c r="Q32" i="4"/>
  <c r="S32" i="4" s="1"/>
  <c r="U32" i="4" s="1"/>
  <c r="V32" i="4" s="1"/>
  <c r="Q33" i="4"/>
  <c r="Q34" i="4"/>
  <c r="S34" i="4" s="1"/>
  <c r="U34" i="4" s="1"/>
  <c r="V34" i="4" s="1"/>
  <c r="Q35" i="4"/>
  <c r="Q36" i="4"/>
  <c r="Q37" i="4"/>
  <c r="Q38" i="4"/>
  <c r="Q39" i="4"/>
  <c r="S39" i="4" s="1"/>
  <c r="U39" i="4" s="1"/>
  <c r="V39" i="4" s="1"/>
  <c r="Q40" i="4"/>
  <c r="S40" i="4" s="1"/>
  <c r="U40" i="4" s="1"/>
  <c r="V40" i="4" s="1"/>
  <c r="Q41" i="4"/>
  <c r="Q16" i="4"/>
  <c r="M28" i="4"/>
  <c r="O28" i="4" s="1"/>
  <c r="H7" i="4"/>
  <c r="M16" i="4"/>
  <c r="J16" i="4"/>
  <c r="Z16" i="4" s="1"/>
  <c r="A63" i="4"/>
  <c r="A64" i="4" s="1"/>
  <c r="J51" i="4"/>
  <c r="K51" i="4"/>
  <c r="M51" i="4"/>
  <c r="O51" i="4" s="1"/>
  <c r="H57" i="4"/>
  <c r="I57" i="4" s="1"/>
  <c r="J57" i="4"/>
  <c r="K57" i="4"/>
  <c r="M57" i="4"/>
  <c r="O57" i="4" s="1"/>
  <c r="H58" i="4"/>
  <c r="I58" i="4" s="1"/>
  <c r="J58" i="4"/>
  <c r="K58" i="4"/>
  <c r="M58" i="4"/>
  <c r="O58" i="4" s="1"/>
  <c r="H59" i="4"/>
  <c r="I59" i="4" s="1"/>
  <c r="J59" i="4"/>
  <c r="K59" i="4"/>
  <c r="M59" i="4"/>
  <c r="O59" i="4" s="1"/>
  <c r="J60" i="4"/>
  <c r="K60" i="4"/>
  <c r="M60" i="4"/>
  <c r="O60" i="4" s="1"/>
  <c r="K49" i="4"/>
  <c r="K50" i="4"/>
  <c r="K48" i="4"/>
  <c r="J48" i="4"/>
  <c r="H48" i="4"/>
  <c r="I48" i="4" s="1"/>
  <c r="M48" i="4"/>
  <c r="M49" i="4"/>
  <c r="M50" i="4"/>
  <c r="O50" i="4" s="1"/>
  <c r="J49" i="4"/>
  <c r="J50" i="4"/>
  <c r="H49" i="4"/>
  <c r="I49" i="4" s="1"/>
  <c r="H50" i="4"/>
  <c r="I50" i="4" s="1"/>
  <c r="M33" i="4"/>
  <c r="O33" i="4" s="1"/>
  <c r="M34" i="4"/>
  <c r="O34" i="4" s="1"/>
  <c r="M35" i="4"/>
  <c r="O35" i="4" s="1"/>
  <c r="M36" i="4"/>
  <c r="O36" i="4" s="1"/>
  <c r="M37" i="4"/>
  <c r="O37" i="4" s="1"/>
  <c r="M38" i="4"/>
  <c r="O38" i="4" s="1"/>
  <c r="M39" i="4"/>
  <c r="O39" i="4" s="1"/>
  <c r="M40" i="4"/>
  <c r="O40" i="4" s="1"/>
  <c r="M41" i="4"/>
  <c r="O41" i="4" s="1"/>
  <c r="M32" i="4"/>
  <c r="O32" i="4" s="1"/>
  <c r="M29" i="4"/>
  <c r="O29" i="4" s="1"/>
  <c r="M30" i="4"/>
  <c r="O30" i="4" s="1"/>
  <c r="M31" i="4"/>
  <c r="O31" i="4" s="1"/>
  <c r="B8" i="4"/>
  <c r="N60" i="4" s="1"/>
  <c r="M17" i="4"/>
  <c r="M18" i="4"/>
  <c r="M19" i="4"/>
  <c r="M20" i="4"/>
  <c r="M21" i="4"/>
  <c r="M22" i="4"/>
  <c r="M23" i="4"/>
  <c r="M24" i="4"/>
  <c r="M25" i="4"/>
  <c r="M26" i="4"/>
  <c r="M27" i="4"/>
  <c r="B6" i="4"/>
  <c r="B5" i="4"/>
  <c r="J19" i="4"/>
  <c r="Z19" i="4" s="1"/>
  <c r="J20" i="4"/>
  <c r="Z20" i="4" s="1"/>
  <c r="J21" i="4"/>
  <c r="J22" i="4"/>
  <c r="Z22" i="4" s="1"/>
  <c r="J23" i="4"/>
  <c r="J24" i="4"/>
  <c r="J25" i="4"/>
  <c r="J26" i="4"/>
  <c r="Z26" i="4" s="1"/>
  <c r="J27" i="4"/>
  <c r="Z27" i="4" s="1"/>
  <c r="J17" i="4"/>
  <c r="Z17" i="4" s="1"/>
  <c r="J18" i="4"/>
  <c r="Z18" i="4" s="1"/>
  <c r="H17" i="4"/>
  <c r="I17" i="4" s="1"/>
  <c r="H18" i="4"/>
  <c r="I18" i="4" s="1"/>
  <c r="H20" i="4"/>
  <c r="I20" i="4" s="1"/>
  <c r="H21" i="4"/>
  <c r="I21" i="4" s="1"/>
  <c r="H22" i="4"/>
  <c r="I22" i="4" s="1"/>
  <c r="H24" i="4"/>
  <c r="I24" i="4" s="1"/>
  <c r="H25" i="4"/>
  <c r="I25" i="4" s="1"/>
  <c r="V25" i="4" s="1"/>
  <c r="H26" i="4"/>
  <c r="I26" i="4" s="1"/>
  <c r="V26" i="4" s="1"/>
  <c r="H16" i="4"/>
  <c r="I16" i="4" s="1"/>
  <c r="AF36" i="5" l="1"/>
  <c r="AF28" i="5"/>
  <c r="AH20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AH42" i="5"/>
  <c r="AH45" i="5"/>
  <c r="AH44" i="5"/>
  <c r="AG36" i="5"/>
  <c r="AG28" i="5"/>
  <c r="AG20" i="5"/>
  <c r="AG40" i="5"/>
  <c r="AG32" i="5"/>
  <c r="AG24" i="5"/>
  <c r="V31" i="5"/>
  <c r="X31" i="5" s="1"/>
  <c r="Y31" i="5" s="1"/>
  <c r="N43" i="5"/>
  <c r="N35" i="5"/>
  <c r="N27" i="5"/>
  <c r="O27" i="5" s="1"/>
  <c r="R27" i="5" s="1"/>
  <c r="N19" i="5"/>
  <c r="O19" i="5" s="1"/>
  <c r="R19" i="5" s="1"/>
  <c r="AG26" i="5"/>
  <c r="V44" i="5"/>
  <c r="X44" i="5" s="1"/>
  <c r="AF38" i="5"/>
  <c r="AF30" i="5"/>
  <c r="AG38" i="5"/>
  <c r="AG30" i="5"/>
  <c r="AG22" i="5"/>
  <c r="AH43" i="5"/>
  <c r="AH16" i="5"/>
  <c r="Q25" i="5"/>
  <c r="N40" i="5"/>
  <c r="N39" i="5"/>
  <c r="N31" i="5"/>
  <c r="N23" i="5"/>
  <c r="N42" i="5"/>
  <c r="O42" i="5" s="1"/>
  <c r="R42" i="5" s="1"/>
  <c r="N34" i="5"/>
  <c r="Q26" i="5"/>
  <c r="V42" i="5"/>
  <c r="X42" i="5" s="1"/>
  <c r="Y42" i="5" s="1"/>
  <c r="V34" i="5"/>
  <c r="X34" i="5" s="1"/>
  <c r="Y34" i="5" s="1"/>
  <c r="V26" i="5"/>
  <c r="X26" i="5" s="1"/>
  <c r="V18" i="5"/>
  <c r="X18" i="5" s="1"/>
  <c r="N44" i="5"/>
  <c r="O44" i="5" s="1"/>
  <c r="R44" i="5" s="1"/>
  <c r="N36" i="5"/>
  <c r="N28" i="5"/>
  <c r="N20" i="5"/>
  <c r="O20" i="5" s="1"/>
  <c r="R20" i="5" s="1"/>
  <c r="V17" i="5"/>
  <c r="X17" i="5" s="1"/>
  <c r="Y17" i="5" s="1"/>
  <c r="AF31" i="5"/>
  <c r="AI31" i="5" s="1"/>
  <c r="AL31" i="5" s="1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O26" i="5"/>
  <c r="R26" i="5" s="1"/>
  <c r="Q18" i="5"/>
  <c r="S18" i="5" s="1"/>
  <c r="O43" i="5"/>
  <c r="R43" i="5" s="1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AI30" i="5" s="1"/>
  <c r="AL30" i="5" s="1"/>
  <c r="V22" i="5"/>
  <c r="X22" i="5" s="1"/>
  <c r="Y22" i="5" s="1"/>
  <c r="O23" i="5"/>
  <c r="R23" i="5" s="1"/>
  <c r="V37" i="5"/>
  <c r="X37" i="5" s="1"/>
  <c r="Y37" i="5" s="1"/>
  <c r="V29" i="5"/>
  <c r="X29" i="5" s="1"/>
  <c r="Y29" i="5" s="1"/>
  <c r="V21" i="5"/>
  <c r="X21" i="5" s="1"/>
  <c r="Y21" i="5" s="1"/>
  <c r="N16" i="5"/>
  <c r="O16" i="5" s="1"/>
  <c r="O22" i="5"/>
  <c r="R22" i="5" s="1"/>
  <c r="V36" i="5"/>
  <c r="X36" i="5" s="1"/>
  <c r="Y36" i="5" s="1"/>
  <c r="AI36" i="5" s="1"/>
  <c r="AL36" i="5" s="1"/>
  <c r="V28" i="5"/>
  <c r="X28" i="5" s="1"/>
  <c r="Y28" i="5" s="1"/>
  <c r="AI28" i="5" s="1"/>
  <c r="AL28" i="5" s="1"/>
  <c r="V20" i="5"/>
  <c r="X20" i="5" s="1"/>
  <c r="Y20" i="5" s="1"/>
  <c r="N45" i="5"/>
  <c r="O45" i="5" s="1"/>
  <c r="R45" i="5" s="1"/>
  <c r="N37" i="5"/>
  <c r="N29" i="5"/>
  <c r="N21" i="5"/>
  <c r="O21" i="5" s="1"/>
  <c r="R21" i="5" s="1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Y16" i="5"/>
  <c r="AF35" i="5"/>
  <c r="Q40" i="5"/>
  <c r="Q32" i="5"/>
  <c r="Q24" i="5"/>
  <c r="Q44" i="5"/>
  <c r="S44" i="5" s="1"/>
  <c r="Y26" i="5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Y18" i="5"/>
  <c r="Q36" i="5"/>
  <c r="Q28" i="5"/>
  <c r="Q20" i="5"/>
  <c r="Q35" i="5"/>
  <c r="Q27" i="5"/>
  <c r="Q19" i="5"/>
  <c r="AH21" i="5"/>
  <c r="R30" i="5"/>
  <c r="R38" i="5"/>
  <c r="R31" i="5"/>
  <c r="R39" i="5"/>
  <c r="R41" i="5"/>
  <c r="AF34" i="5"/>
  <c r="AF32" i="5"/>
  <c r="AF40" i="5"/>
  <c r="AF29" i="5"/>
  <c r="AF33" i="5"/>
  <c r="AF37" i="5"/>
  <c r="AF41" i="5"/>
  <c r="O49" i="4"/>
  <c r="AH22" i="5"/>
  <c r="AH27" i="5"/>
  <c r="AH18" i="5"/>
  <c r="AH24" i="5"/>
  <c r="AH19" i="5"/>
  <c r="AH25" i="5"/>
  <c r="AI25" i="5" s="1"/>
  <c r="AH23" i="5"/>
  <c r="AI23" i="5" s="1"/>
  <c r="AH17" i="5"/>
  <c r="AI17" i="5" s="1"/>
  <c r="R24" i="5"/>
  <c r="AH26" i="5"/>
  <c r="AI26" i="5" s="1"/>
  <c r="O48" i="4"/>
  <c r="S38" i="4"/>
  <c r="U38" i="4" s="1"/>
  <c r="V38" i="4" s="1"/>
  <c r="S30" i="4"/>
  <c r="U30" i="4" s="1"/>
  <c r="V30" i="4" s="1"/>
  <c r="S22" i="4"/>
  <c r="U22" i="4" s="1"/>
  <c r="V22" i="4" s="1"/>
  <c r="AA22" i="4" s="1"/>
  <c r="S37" i="4"/>
  <c r="U37" i="4" s="1"/>
  <c r="V37" i="4" s="1"/>
  <c r="S29" i="4"/>
  <c r="U29" i="4" s="1"/>
  <c r="V29" i="4" s="1"/>
  <c r="Z21" i="4"/>
  <c r="S21" i="4"/>
  <c r="U21" i="4" s="1"/>
  <c r="V21" i="4" s="1"/>
  <c r="AA21" i="4" s="1"/>
  <c r="AA39" i="4"/>
  <c r="AA31" i="4"/>
  <c r="AD31" i="4" s="1"/>
  <c r="AA32" i="4"/>
  <c r="AD32" i="4" s="1"/>
  <c r="AA40" i="4"/>
  <c r="AD40" i="4" s="1"/>
  <c r="S35" i="4"/>
  <c r="U35" i="4" s="1"/>
  <c r="V35" i="4" s="1"/>
  <c r="S27" i="4"/>
  <c r="U27" i="4" s="1"/>
  <c r="V27" i="4" s="1"/>
  <c r="S36" i="4"/>
  <c r="U36" i="4" s="1"/>
  <c r="V36" i="4" s="1"/>
  <c r="AA36" i="4" s="1"/>
  <c r="AD36" i="4" s="1"/>
  <c r="S28" i="4"/>
  <c r="U28" i="4" s="1"/>
  <c r="V28" i="4" s="1"/>
  <c r="AA28" i="4" s="1"/>
  <c r="AD28" i="4" s="1"/>
  <c r="S41" i="4"/>
  <c r="U41" i="4" s="1"/>
  <c r="V41" i="4" s="1"/>
  <c r="AA41" i="4" s="1"/>
  <c r="AD41" i="4" s="1"/>
  <c r="S33" i="4"/>
  <c r="U33" i="4" s="1"/>
  <c r="V33" i="4" s="1"/>
  <c r="AA33" i="4" s="1"/>
  <c r="AD33" i="4" s="1"/>
  <c r="V24" i="4"/>
  <c r="AA29" i="4"/>
  <c r="AD29" i="4" s="1"/>
  <c r="Z25" i="4"/>
  <c r="Z24" i="4"/>
  <c r="AA24" i="4" s="1"/>
  <c r="S16" i="4"/>
  <c r="U16" i="4" s="1"/>
  <c r="V16" i="4" s="1"/>
  <c r="AA16" i="4" s="1"/>
  <c r="V18" i="4"/>
  <c r="AA18" i="4" s="1"/>
  <c r="Z23" i="4"/>
  <c r="AA23" i="4" s="1"/>
  <c r="S20" i="4"/>
  <c r="U20" i="4" s="1"/>
  <c r="V20" i="4" s="1"/>
  <c r="AA20" i="4" s="1"/>
  <c r="AA19" i="4"/>
  <c r="AA38" i="4"/>
  <c r="AD38" i="4" s="1"/>
  <c r="AA30" i="4"/>
  <c r="AD30" i="4" s="1"/>
  <c r="AA26" i="4"/>
  <c r="AA25" i="4"/>
  <c r="AA27" i="4"/>
  <c r="AA35" i="4"/>
  <c r="AD35" i="4" s="1"/>
  <c r="AA34" i="4"/>
  <c r="AD34" i="4" s="1"/>
  <c r="V17" i="4"/>
  <c r="AA17" i="4" s="1"/>
  <c r="AD39" i="4"/>
  <c r="AA37" i="4"/>
  <c r="AD37" i="4" s="1"/>
  <c r="N40" i="4"/>
  <c r="AC40" i="4" s="1"/>
  <c r="N32" i="4"/>
  <c r="AC32" i="4" s="1"/>
  <c r="N39" i="4"/>
  <c r="AC39" i="4" s="1"/>
  <c r="N31" i="4"/>
  <c r="AC31" i="4" s="1"/>
  <c r="N38" i="4"/>
  <c r="N30" i="4"/>
  <c r="N37" i="4"/>
  <c r="N29" i="4"/>
  <c r="N36" i="4"/>
  <c r="N35" i="4"/>
  <c r="AC35" i="4" s="1"/>
  <c r="N27" i="4"/>
  <c r="AC27" i="4" s="1"/>
  <c r="N34" i="4"/>
  <c r="AC34" i="4" s="1"/>
  <c r="N16" i="4"/>
  <c r="N41" i="4"/>
  <c r="N33" i="4"/>
  <c r="N28" i="4"/>
  <c r="P60" i="4"/>
  <c r="N50" i="4"/>
  <c r="P50" i="4" s="1"/>
  <c r="N49" i="4"/>
  <c r="P49" i="4" s="1"/>
  <c r="N48" i="4"/>
  <c r="P48" i="4" s="1"/>
  <c r="N51" i="4"/>
  <c r="P51" i="4" s="1"/>
  <c r="N59" i="4"/>
  <c r="P59" i="4" s="1"/>
  <c r="N57" i="4"/>
  <c r="P57" i="4" s="1"/>
  <c r="N24" i="4"/>
  <c r="N58" i="4"/>
  <c r="P58" i="4" s="1"/>
  <c r="P39" i="4"/>
  <c r="AE39" i="4" s="1"/>
  <c r="N21" i="4"/>
  <c r="N22" i="4"/>
  <c r="N18" i="4"/>
  <c r="N17" i="4"/>
  <c r="N26" i="4"/>
  <c r="N20" i="4"/>
  <c r="N25" i="4"/>
  <c r="N19" i="4"/>
  <c r="N23" i="4"/>
  <c r="P31" i="4"/>
  <c r="AE31" i="4" s="1"/>
  <c r="L26" i="4"/>
  <c r="O26" i="4" s="1"/>
  <c r="L18" i="4"/>
  <c r="O18" i="4" s="1"/>
  <c r="L17" i="4"/>
  <c r="O17" i="4" s="1"/>
  <c r="L20" i="4"/>
  <c r="O20" i="4" s="1"/>
  <c r="L27" i="4"/>
  <c r="O27" i="4" s="1"/>
  <c r="L19" i="4"/>
  <c r="O19" i="4" s="1"/>
  <c r="L24" i="4"/>
  <c r="O24" i="4" s="1"/>
  <c r="L23" i="4"/>
  <c r="O23" i="4" s="1"/>
  <c r="L25" i="4"/>
  <c r="O25" i="4" s="1"/>
  <c r="L16" i="4"/>
  <c r="O16" i="4" s="1"/>
  <c r="L22" i="4"/>
  <c r="O22" i="4" s="1"/>
  <c r="L21" i="4"/>
  <c r="O21" i="4" s="1"/>
  <c r="AI43" i="5" l="1"/>
  <c r="AL43" i="5" s="1"/>
  <c r="AI18" i="5"/>
  <c r="AL18" i="5" s="1"/>
  <c r="AI41" i="5"/>
  <c r="AL41" i="5" s="1"/>
  <c r="AI45" i="5"/>
  <c r="AL45" i="5" s="1"/>
  <c r="AI38" i="5"/>
  <c r="AL38" i="5" s="1"/>
  <c r="AI19" i="5"/>
  <c r="AL19" i="5" s="1"/>
  <c r="AI22" i="5"/>
  <c r="AI24" i="5"/>
  <c r="AL24" i="5" s="1"/>
  <c r="AI34" i="5"/>
  <c r="AL34" i="5" s="1"/>
  <c r="AI16" i="5"/>
  <c r="AL20" i="5"/>
  <c r="AI27" i="5"/>
  <c r="AI44" i="5"/>
  <c r="AL44" i="5" s="1"/>
  <c r="AI21" i="5"/>
  <c r="AL21" i="5" s="1"/>
  <c r="AI42" i="5"/>
  <c r="AL42" i="5" s="1"/>
  <c r="AI35" i="5"/>
  <c r="AL35" i="5" s="1"/>
  <c r="AI39" i="5"/>
  <c r="AL39" i="5" s="1"/>
  <c r="AI29" i="5"/>
  <c r="AL29" i="5" s="1"/>
  <c r="AL23" i="5"/>
  <c r="AI32" i="5"/>
  <c r="AL32" i="5" s="1"/>
  <c r="AI37" i="5"/>
  <c r="AL37" i="5" s="1"/>
  <c r="AI40" i="5"/>
  <c r="AL40" i="5" s="1"/>
  <c r="AI33" i="5"/>
  <c r="AL33" i="5" s="1"/>
  <c r="AL26" i="5"/>
  <c r="AL22" i="5"/>
  <c r="AL17" i="5"/>
  <c r="S16" i="5"/>
  <c r="AL25" i="5"/>
  <c r="S39" i="5"/>
  <c r="S21" i="5"/>
  <c r="S32" i="5"/>
  <c r="S40" i="5"/>
  <c r="S30" i="5"/>
  <c r="S20" i="5"/>
  <c r="S31" i="5"/>
  <c r="S23" i="5"/>
  <c r="S33" i="5"/>
  <c r="S41" i="5"/>
  <c r="S26" i="5"/>
  <c r="S22" i="5"/>
  <c r="S27" i="5"/>
  <c r="S35" i="5"/>
  <c r="S38" i="5"/>
  <c r="S24" i="5"/>
  <c r="S34" i="5"/>
  <c r="S28" i="5"/>
  <c r="S36" i="5"/>
  <c r="S17" i="5"/>
  <c r="S29" i="5"/>
  <c r="S37" i="5"/>
  <c r="S19" i="5"/>
  <c r="S25" i="5"/>
  <c r="AD23" i="4"/>
  <c r="AC36" i="4"/>
  <c r="AD18" i="4"/>
  <c r="AD21" i="4"/>
  <c r="AD25" i="4"/>
  <c r="P40" i="4"/>
  <c r="AE40" i="4" s="1"/>
  <c r="AD16" i="4"/>
  <c r="AD24" i="4"/>
  <c r="AD19" i="4"/>
  <c r="AD27" i="4"/>
  <c r="P27" i="4"/>
  <c r="AE27" i="4" s="1"/>
  <c r="P34" i="4"/>
  <c r="AE34" i="4" s="1"/>
  <c r="AD20" i="4"/>
  <c r="P36" i="4"/>
  <c r="AE36" i="4" s="1"/>
  <c r="P32" i="4"/>
  <c r="AE32" i="4" s="1"/>
  <c r="AD22" i="4"/>
  <c r="P20" i="4"/>
  <c r="AC20" i="4"/>
  <c r="P26" i="4"/>
  <c r="AC26" i="4"/>
  <c r="AD26" i="4"/>
  <c r="P17" i="4"/>
  <c r="AC17" i="4"/>
  <c r="P38" i="4"/>
  <c r="AC38" i="4"/>
  <c r="P23" i="4"/>
  <c r="AC23" i="4"/>
  <c r="P22" i="4"/>
  <c r="AC22" i="4"/>
  <c r="P16" i="4"/>
  <c r="AC16" i="4"/>
  <c r="P18" i="4"/>
  <c r="AC18" i="4"/>
  <c r="P19" i="4"/>
  <c r="AC19" i="4"/>
  <c r="P21" i="4"/>
  <c r="AC21" i="4"/>
  <c r="P24" i="4"/>
  <c r="AC24" i="4"/>
  <c r="P28" i="4"/>
  <c r="AC28" i="4"/>
  <c r="P29" i="4"/>
  <c r="AC29" i="4"/>
  <c r="AD17" i="4"/>
  <c r="P35" i="4"/>
  <c r="AE35" i="4" s="1"/>
  <c r="P33" i="4"/>
  <c r="AC33" i="4"/>
  <c r="P37" i="4"/>
  <c r="AC37" i="4"/>
  <c r="P25" i="4"/>
  <c r="AC25" i="4"/>
  <c r="P41" i="4"/>
  <c r="AC41" i="4"/>
  <c r="P30" i="4"/>
  <c r="AC30" i="4"/>
  <c r="AE37" i="4" l="1"/>
  <c r="AE28" i="4"/>
  <c r="AE38" i="4"/>
  <c r="AE18" i="4"/>
  <c r="AE30" i="4"/>
  <c r="AE33" i="4"/>
  <c r="AE24" i="4"/>
  <c r="AE16" i="4"/>
  <c r="AE17" i="4"/>
  <c r="AE22" i="4"/>
  <c r="AE41" i="4"/>
  <c r="AE26" i="4"/>
  <c r="AE25" i="4"/>
  <c r="AE29" i="4"/>
  <c r="AE19" i="4"/>
  <c r="AE23" i="4"/>
  <c r="AE21" i="4"/>
  <c r="AE20" i="4"/>
  <c r="R16" i="5"/>
</calcChain>
</file>

<file path=xl/sharedStrings.xml><?xml version="1.0" encoding="utf-8"?>
<sst xmlns="http://schemas.openxmlformats.org/spreadsheetml/2006/main" count="353" uniqueCount="90">
  <si>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</si>
  <si>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</si>
  <si>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</si>
  <si>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</si>
  <si>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</si>
  <si>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</si>
  <si>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</si>
  <si>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</si>
  <si>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</si>
  <si>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</si>
  <si>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Configuration</t>
  </si>
  <si>
    <t>Fully open</t>
  </si>
  <si>
    <t>Partial 1</t>
  </si>
  <si>
    <t>Partial 2</t>
  </si>
  <si>
    <t>Closed</t>
  </si>
  <si>
    <t>-</t>
  </si>
  <si>
    <t>Single Pump Performance</t>
  </si>
  <si>
    <t>Pump Speed</t>
  </si>
  <si>
    <t>(cm)</t>
  </si>
  <si>
    <t>(s)</t>
  </si>
  <si>
    <t>Dyno Mass</t>
  </si>
  <si>
    <t>kg</t>
  </si>
  <si>
    <t>(RPM)</t>
  </si>
  <si>
    <t>Parallel System Performance</t>
  </si>
  <si>
    <t>Pump 1</t>
  </si>
  <si>
    <t>Pump 2</t>
  </si>
  <si>
    <t>Series System Performance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</si>
  <si>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</si>
  <si>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</si>
  <si>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</si>
  <si>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</si>
  <si>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</si>
  <si>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</si>
  <si>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</si>
  <si>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</si>
  <si>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</si>
  <si>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</si>
  <si>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</si>
  <si>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</si>
  <si>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</si>
  <si>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</si>
  <si>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</si>
  <si>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</si>
  <si>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</si>
  <si>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</si>
  <si>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</si>
  <si>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</si>
  <si>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</si>
  <si>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</si>
  <si>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</si>
  <si>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</si>
  <si>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</si>
  <si>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</si>
  <si>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</si>
  <si>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</si>
  <si>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</si>
  <si>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</si>
  <si>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$P_{V_{\text{tr}}}$</t>
  </si>
  <si>
    <t>$B_{V_{\text{tr}}}$</t>
  </si>
  <si>
    <t>$\delta_{V_{\text{tr}}}$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</si>
  <si>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</si>
  <si>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</si>
  <si>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</si>
  <si>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</si>
  <si>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</si>
  <si>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</si>
  <si>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</si>
  <si>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</si>
  <si>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</si>
  <si>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this column is blank so it lines up with the parallel and series data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</si>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</sst>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&lt;=9999999]###\-####;###\-###\-####"/>
    <numFmt numFmtId="166" formatCode="0.000000"/>
    <numFmt numFmtId="168" formatCode="0.0000"/>
    <numFmt numFmtId="169" formatCode="0.000"/>
    <numFmt numFmtId="170" formatCode="0.0"/>
    <numFmt numFmtId="178" formatCode="#,##0;\-#,##0;\-"/>
    <numFmt numFmtId="179" formatCode="#,##0.0;\-#,##0.0;\-"/>
    <numFmt numFmtId="180" formatCode="#,##0.00;\-#,##0.00;\-"/>
    <numFmt numFmtId="182" formatCode="#,##0.0000;\-#,##0.0000;\-"/>
    <numFmt numFmtId="183" formatCode="#,##0.00000;\-#,##0.00000;\-"/>
  </numFmts>
  <fonts count="3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/>
    <xf numFmtId="169" fontId="1" fillId="0" borderId="0" xfId="0" applyNumberFormat="1" applyFont="1"/>
    <xf numFmtId="2" fontId="1" fillId="0" borderId="0" xfId="0" applyNumberFormat="1" applyFont="1"/>
    <xf numFmtId="170" fontId="1" fillId="0" borderId="0" xfId="0" applyNumberFormat="1" applyFont="1"/>
    <xf numFmtId="2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/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18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0" fontId="1" fillId="0" borderId="0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82" fontId="1" fillId="0" borderId="0" xfId="0" applyNumberFormat="1" applyFont="1" applyBorder="1" applyAlignment="1">
      <alignment horizontal="center"/>
    </xf>
    <xf numFmtId="183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M85"/>
  <sheetViews>
    <sheetView tabSelected="1" topLeftCell="W10" zoomScale="115" zoomScaleNormal="115" workbookViewId="0">
      <selection activeCell="AM49" sqref="AM49"/>
    </sheetView>
  </sheetViews>
  <sheetFormatPr defaultColWidth="10.85546875" defaultRowHeight="15.75" x14ac:dyDescent="0.25"/>
  <cols>
    <col min="1" max="1" width="21.5703125" style="2" bestFit="1" customWidth="1"/>
    <col min="2" max="2" width="27.42578125" style="2" bestFit="1" customWidth="1"/>
    <col min="3" max="3" width="18.42578125" style="2" customWidth="1"/>
    <col min="4" max="4" width="17.42578125" style="2" bestFit="1" customWidth="1"/>
    <col min="5" max="5" width="17.42578125" style="2" customWidth="1"/>
    <col min="6" max="6" width="12.140625" style="2" bestFit="1" customWidth="1"/>
    <col min="7" max="9" width="10.85546875" style="2"/>
    <col min="10" max="10" width="13.7109375" style="26" customWidth="1"/>
    <col min="11" max="11" width="16.85546875" style="2" customWidth="1"/>
    <col min="12" max="13" width="16.5703125" style="2" bestFit="1" customWidth="1"/>
    <col min="14" max="14" width="16.5703125" style="2" customWidth="1"/>
    <col min="15" max="15" width="13.140625" style="2" bestFit="1" customWidth="1"/>
    <col min="16" max="16" width="11" style="2" bestFit="1" customWidth="1"/>
    <col min="17" max="17" width="13.7109375" style="2" bestFit="1" customWidth="1"/>
    <col min="18" max="18" width="10.42578125" style="2" customWidth="1"/>
    <col min="19" max="23" width="10.85546875" style="2"/>
    <col min="24" max="25" width="12.7109375" style="2" bestFit="1" customWidth="1"/>
    <col min="26" max="27" width="21.5703125" style="2" customWidth="1"/>
    <col min="28" max="29" width="22.85546875" style="2" customWidth="1"/>
    <col min="30" max="30" width="14.7109375" style="2" bestFit="1" customWidth="1"/>
    <col min="31" max="31" width="14.7109375" style="2" customWidth="1"/>
    <col min="32" max="32" width="13.7109375" style="2" bestFit="1" customWidth="1"/>
    <col min="33" max="34" width="13.7109375" style="2" customWidth="1"/>
    <col min="35" max="35" width="10.7109375" style="2" bestFit="1" customWidth="1"/>
    <col min="36" max="36" width="20" style="2" bestFit="1" customWidth="1"/>
    <col min="37" max="37" width="14.85546875" style="2" bestFit="1" customWidth="1"/>
    <col min="38" max="38" width="14.5703125" style="2" bestFit="1" customWidth="1"/>
    <col min="39" max="16384" width="10.85546875" style="2"/>
  </cols>
  <sheetData>
    <row r="1" spans="1:39" x14ac:dyDescent="0.25">
      <c r="A1" s="1" t="s">
        <v>1</v>
      </c>
      <c r="B1" s="2">
        <v>5</v>
      </c>
      <c r="C1" s="2" t="s">
        <v>2</v>
      </c>
    </row>
    <row r="2" spans="1:39" x14ac:dyDescent="0.25">
      <c r="A2" s="1" t="s">
        <v>3</v>
      </c>
      <c r="B2" s="2">
        <v>998</v>
      </c>
      <c r="C2" s="2" t="s">
        <v>4</v>
      </c>
    </row>
    <row r="3" spans="1:39" x14ac:dyDescent="0.25">
      <c r="A3" s="1" t="s">
        <v>5</v>
      </c>
      <c r="B3" s="2">
        <v>200</v>
      </c>
      <c r="C3" s="2" t="s">
        <v>6</v>
      </c>
      <c r="D3" s="2">
        <v>90.718500000000006</v>
      </c>
      <c r="E3" s="2" t="s">
        <v>21</v>
      </c>
    </row>
    <row r="4" spans="1:39" x14ac:dyDescent="0.25">
      <c r="A4" s="1" t="s">
        <v>20</v>
      </c>
      <c r="B4" s="2">
        <v>1.502</v>
      </c>
      <c r="C4" s="2" t="s">
        <v>21</v>
      </c>
    </row>
    <row r="5" spans="1:39" x14ac:dyDescent="0.25">
      <c r="A5" s="1" t="s">
        <v>30</v>
      </c>
      <c r="B5" s="2">
        <f>50.8*10^(-3)</f>
        <v>5.0799999999999998E-2</v>
      </c>
      <c r="C5" s="2" t="s">
        <v>40</v>
      </c>
    </row>
    <row r="6" spans="1:39" x14ac:dyDescent="0.25">
      <c r="A6" s="1" t="s">
        <v>31</v>
      </c>
      <c r="B6" s="2">
        <f>38.1*10^(-3)</f>
        <v>3.8100000000000002E-2</v>
      </c>
      <c r="C6" s="2" t="s">
        <v>40</v>
      </c>
    </row>
    <row r="7" spans="1:39" x14ac:dyDescent="0.25">
      <c r="A7" s="1" t="s">
        <v>35</v>
      </c>
      <c r="B7" s="2">
        <v>0.108</v>
      </c>
      <c r="C7" s="2" t="s">
        <v>40</v>
      </c>
      <c r="J7" s="26">
        <f>0.108/2</f>
        <v>5.3999999999999999E-2</v>
      </c>
    </row>
    <row r="8" spans="1:39" x14ac:dyDescent="0.25">
      <c r="A8" s="1" t="s">
        <v>39</v>
      </c>
      <c r="B8" s="2">
        <f>9*10^(-3)</f>
        <v>9.0000000000000011E-3</v>
      </c>
      <c r="C8" s="2" t="s">
        <v>40</v>
      </c>
    </row>
    <row r="9" spans="1:39" x14ac:dyDescent="0.25">
      <c r="A9" s="1" t="s">
        <v>41</v>
      </c>
      <c r="B9" s="2">
        <v>8.5000000000000006E-3</v>
      </c>
      <c r="C9" s="2" t="s">
        <v>40</v>
      </c>
    </row>
    <row r="10" spans="1:39" ht="15.75" customHeight="1" x14ac:dyDescent="0.25">
      <c r="A10" s="1" t="s">
        <v>37</v>
      </c>
      <c r="B10" s="2">
        <v>5</v>
      </c>
    </row>
    <row r="11" spans="1:39" x14ac:dyDescent="0.25">
      <c r="M11" s="23"/>
      <c r="N11" s="23"/>
    </row>
    <row r="12" spans="1:39" x14ac:dyDescent="0.25">
      <c r="B12" s="4"/>
      <c r="M12" s="23"/>
      <c r="N12" s="23"/>
      <c r="Y12" s="2" t="s">
        <v>62</v>
      </c>
      <c r="AK12" s="2" t="s">
        <v>63</v>
      </c>
    </row>
    <row r="13" spans="1:39" ht="15.75" customHeight="1" x14ac:dyDescent="0.25">
      <c r="D13" s="10" t="s">
        <v>7</v>
      </c>
      <c r="E13" s="10"/>
      <c r="G13" s="7" t="s">
        <v>9</v>
      </c>
      <c r="H13" s="7"/>
      <c r="I13" s="7"/>
      <c r="L13" s="10" t="s">
        <v>29</v>
      </c>
      <c r="M13" s="10"/>
      <c r="R13" s="2" t="s">
        <v>45</v>
      </c>
      <c r="S13" s="19" t="s">
        <v>46</v>
      </c>
      <c r="Z13" s="7" t="s">
        <v>79</v>
      </c>
      <c r="AA13" s="7"/>
      <c r="AB13" s="7" t="s">
        <v>80</v>
      </c>
      <c r="AC13" s="7"/>
      <c r="AD13" s="7" t="s">
        <v>83</v>
      </c>
      <c r="AE13" s="7"/>
      <c r="AF13" s="7" t="s">
        <v>85</v>
      </c>
      <c r="AG13" s="7"/>
      <c r="AH13" s="3"/>
    </row>
    <row r="14" spans="1:39" s="27" customFormat="1" ht="31.5" x14ac:dyDescent="0.25">
      <c r="A14" s="27" t="s">
        <v>71</v>
      </c>
      <c r="B14" s="23" t="s">
        <v>70</v>
      </c>
      <c r="C14" s="23" t="s">
        <v>17</v>
      </c>
      <c r="D14" s="27" t="s">
        <v>24</v>
      </c>
      <c r="E14" s="23" t="s">
        <v>25</v>
      </c>
      <c r="F14" s="23" t="s">
        <v>8</v>
      </c>
      <c r="G14" s="28" t="s">
        <v>19</v>
      </c>
      <c r="H14" s="28"/>
      <c r="I14" s="28"/>
      <c r="J14" s="29" t="s">
        <v>28</v>
      </c>
      <c r="K14" s="23" t="s">
        <v>27</v>
      </c>
      <c r="L14" s="27" t="s">
        <v>24</v>
      </c>
      <c r="M14" s="23" t="s">
        <v>25</v>
      </c>
      <c r="N14" s="23" t="s">
        <v>74</v>
      </c>
      <c r="O14" s="23" t="s">
        <v>67</v>
      </c>
      <c r="P14" s="23" t="s">
        <v>32</v>
      </c>
      <c r="Q14" s="23" t="s">
        <v>38</v>
      </c>
      <c r="R14" s="27" t="s">
        <v>43</v>
      </c>
      <c r="S14" s="30" t="s">
        <v>42</v>
      </c>
      <c r="T14" s="27" t="s">
        <v>50</v>
      </c>
      <c r="U14" s="27" t="s">
        <v>51</v>
      </c>
      <c r="V14" s="27" t="s">
        <v>52</v>
      </c>
      <c r="W14" s="27" t="s">
        <v>53</v>
      </c>
      <c r="X14" s="27" t="s">
        <v>54</v>
      </c>
      <c r="Y14" s="27" t="s">
        <v>55</v>
      </c>
      <c r="Z14" s="27" t="s">
        <v>75</v>
      </c>
      <c r="AA14" s="27" t="s">
        <v>76</v>
      </c>
      <c r="AB14" s="27" t="s">
        <v>77</v>
      </c>
      <c r="AC14" s="27" t="s">
        <v>78</v>
      </c>
      <c r="AD14" s="27" t="s">
        <v>81</v>
      </c>
      <c r="AE14" s="27" t="s">
        <v>82</v>
      </c>
      <c r="AF14" s="27" t="s">
        <v>84</v>
      </c>
      <c r="AG14" s="27" t="s">
        <v>86</v>
      </c>
      <c r="AH14" s="27" t="s">
        <v>60</v>
      </c>
      <c r="AI14" s="30" t="s">
        <v>61</v>
      </c>
      <c r="AJ14" s="27" t="s">
        <v>64</v>
      </c>
      <c r="AK14" s="27" t="s">
        <v>65</v>
      </c>
      <c r="AL14" s="27" t="s">
        <v>66</v>
      </c>
      <c r="AM14" s="27" t="s">
        <v>68</v>
      </c>
    </row>
    <row r="15" spans="1:39" x14ac:dyDescent="0.25">
      <c r="B15" s="3"/>
      <c r="C15" s="3" t="s">
        <v>22</v>
      </c>
      <c r="D15" s="3" t="s">
        <v>0</v>
      </c>
      <c r="E15" s="3" t="s">
        <v>0</v>
      </c>
      <c r="F15" s="3" t="s">
        <v>18</v>
      </c>
      <c r="G15" s="3" t="s">
        <v>47</v>
      </c>
      <c r="H15" s="3" t="s">
        <v>48</v>
      </c>
      <c r="I15" s="3" t="s">
        <v>49</v>
      </c>
      <c r="J15" s="26" t="s">
        <v>19</v>
      </c>
      <c r="K15" s="3" t="s">
        <v>33</v>
      </c>
      <c r="L15" s="3" t="s">
        <v>34</v>
      </c>
      <c r="M15" s="23" t="s">
        <v>34</v>
      </c>
      <c r="N15" s="23" t="s">
        <v>34</v>
      </c>
      <c r="O15" s="3" t="s">
        <v>34</v>
      </c>
      <c r="P15" s="3" t="s">
        <v>36</v>
      </c>
      <c r="Q15" s="3" t="s">
        <v>36</v>
      </c>
      <c r="S15" s="19"/>
      <c r="T15" s="2" t="s">
        <v>19</v>
      </c>
      <c r="V15" s="2" t="s">
        <v>19</v>
      </c>
      <c r="W15" s="2" t="s">
        <v>19</v>
      </c>
      <c r="X15" s="2" t="s">
        <v>19</v>
      </c>
      <c r="Y15" s="2" t="s">
        <v>56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2" t="s">
        <v>34</v>
      </c>
      <c r="AG15" s="2" t="s">
        <v>34</v>
      </c>
      <c r="AH15" s="2" t="s">
        <v>34</v>
      </c>
      <c r="AI15" s="19" t="s">
        <v>34</v>
      </c>
      <c r="AJ15" s="2" t="s">
        <v>36</v>
      </c>
      <c r="AK15" s="2" t="s">
        <v>36</v>
      </c>
    </row>
    <row r="16" spans="1:39" x14ac:dyDescent="0.25">
      <c r="A16" s="2" t="s">
        <v>72</v>
      </c>
      <c r="B16" s="1" t="s">
        <v>11</v>
      </c>
      <c r="C16" s="3">
        <v>1800</v>
      </c>
      <c r="D16" s="15">
        <v>0.75</v>
      </c>
      <c r="E16" s="24">
        <v>0</v>
      </c>
      <c r="F16" s="15">
        <v>8.75</v>
      </c>
      <c r="G16" s="15">
        <v>28.55</v>
      </c>
      <c r="H16" s="15">
        <v>28.99</v>
      </c>
      <c r="I16" s="15">
        <v>28.79</v>
      </c>
      <c r="J16" s="26">
        <f>AVERAGE(G16:I16)</f>
        <v>28.776666666666667</v>
      </c>
      <c r="K16" s="17">
        <f>$D$3/$B$2/J16</f>
        <v>3.1588196664381701E-3</v>
      </c>
      <c r="L16" s="15">
        <f>5*D16/($B$2*9.81)*6894.76</f>
        <v>2.6408934076103274</v>
      </c>
      <c r="M16" s="24">
        <f>5*E16/($B$2*9.81)*6894.76</f>
        <v>0</v>
      </c>
      <c r="N16" s="15">
        <f>IF(M16=0, L16, AVERAGE(L16:M16))</f>
        <v>2.6408934076103274</v>
      </c>
      <c r="O16" s="15">
        <f>N16+8*K16^2/(PI()^2*$B$6^4*9.81)*(1-($B$6/$B$5)^4)</f>
        <v>2.9083597146332694</v>
      </c>
      <c r="P16" s="14">
        <f>$B$7/2*2*PI()/60*C16</f>
        <v>10.178760197630929</v>
      </c>
      <c r="Q16" s="14">
        <f>K16/($B$8*(2*PI()*$B$7/2-$B$10*$B$9))</f>
        <v>1.1825788941315878</v>
      </c>
      <c r="R16" s="12">
        <f>O16*9.81/P16^2</f>
        <v>0.27537680824016186</v>
      </c>
      <c r="S16" s="20">
        <f>Q16/P16</f>
        <v>0.11618103493653666</v>
      </c>
      <c r="T16" s="31">
        <f>_xlfn.STDEV.S(G16:I16)</f>
        <v>0.22030282189144293</v>
      </c>
      <c r="U16" s="2">
        <f>-_xlfn.T.INV(0.025, 2)</f>
        <v>4.3026527297494637</v>
      </c>
      <c r="V16" s="31">
        <f>T16*U16/SQRT(COUNT(G16:I16))</f>
        <v>0.54726254786554984</v>
      </c>
      <c r="W16" s="2">
        <v>0.2</v>
      </c>
      <c r="X16" s="26">
        <f>SQRT(V16^2+W16^2)</f>
        <v>0.58266310703209379</v>
      </c>
      <c r="Y16" s="33">
        <f>IFERROR(K16*(X16/J16), 0)</f>
        <v>6.3959029818172578E-5</v>
      </c>
      <c r="Z16" s="26">
        <v>0</v>
      </c>
      <c r="AA16" s="26">
        <v>0</v>
      </c>
      <c r="AB16" s="2">
        <v>0.01</v>
      </c>
      <c r="AC16" s="2">
        <v>0.01</v>
      </c>
      <c r="AD16" s="2">
        <f>SQRT(Z16^2+AB16^2)</f>
        <v>0.01</v>
      </c>
      <c r="AE16" s="2">
        <f>SQRT(AA16^2+AC16^2)</f>
        <v>0.01</v>
      </c>
      <c r="AF16" s="26">
        <f>L16*AD16/D16</f>
        <v>3.5211912101471031E-2</v>
      </c>
      <c r="AG16" s="26">
        <f>M16*AE16</f>
        <v>0</v>
      </c>
      <c r="AH16" s="26">
        <f>AF16</f>
        <v>3.5211912101471031E-2</v>
      </c>
      <c r="AI16" s="26">
        <f t="shared" ref="AI16:AI26" si="0">SQRT(AH16^2+(16*K16/(PI()^2*$B$6^4*9.81)*(1-($B$6/$B$5)^(4))*Y16)^2)</f>
        <v>3.6840105816510794E-2</v>
      </c>
      <c r="AJ16" s="2">
        <v>0</v>
      </c>
      <c r="AK16" s="12">
        <f>IFERROR(Q16*Y16/K16, 0)</f>
        <v>2.3944576373171149E-2</v>
      </c>
      <c r="AL16" s="12">
        <f>R16*AI16/O16</f>
        <v>3.4881898218906493E-3</v>
      </c>
      <c r="AM16" s="31">
        <f>IFERROR(S16*AK16/Q16, 0)</f>
        <v>2.3524059815009852E-3</v>
      </c>
    </row>
    <row r="17" spans="1:39" x14ac:dyDescent="0.25">
      <c r="A17" s="2" t="s">
        <v>72</v>
      </c>
      <c r="B17" s="1" t="s">
        <v>12</v>
      </c>
      <c r="C17" s="3">
        <v>1800</v>
      </c>
      <c r="D17" s="15">
        <v>0.83</v>
      </c>
      <c r="E17" s="24">
        <v>0</v>
      </c>
      <c r="F17" s="15">
        <v>8.5</v>
      </c>
      <c r="G17" s="15">
        <v>30.14</v>
      </c>
      <c r="H17" s="15">
        <v>30.51</v>
      </c>
      <c r="I17" s="15">
        <v>30.16</v>
      </c>
      <c r="J17" s="26">
        <f t="shared" ref="J17:J49" si="1">AVERAGE(G17:I17)</f>
        <v>30.27</v>
      </c>
      <c r="K17" s="17">
        <f>$D$3/$B$2/J17</f>
        <v>3.0029831714966111E-3</v>
      </c>
      <c r="L17" s="15">
        <f t="shared" ref="L17:L44" si="2">5*D17/($B$2*9.81)*6894.76</f>
        <v>2.9225887044220955</v>
      </c>
      <c r="M17" s="24">
        <f t="shared" ref="M17:M44" si="3">5*E17/($B$2*9.81)*6894.76</f>
        <v>0</v>
      </c>
      <c r="N17" s="15">
        <f t="shared" ref="N17:N45" si="4">IF(M17=0, L17, AVERAGE(L17:M17))</f>
        <v>2.9225887044220955</v>
      </c>
      <c r="O17" s="15">
        <f t="shared" ref="O17:O27" si="5">N17+8*K17^2/(PI()^2*$B$6^4*9.81)*(1-($B$6/$B$5)^4)</f>
        <v>3.1643157320369197</v>
      </c>
      <c r="P17" s="14">
        <f>$B$7/2*2*PI()/60*C17</f>
        <v>10.178760197630929</v>
      </c>
      <c r="Q17" s="14">
        <f>K17/($B$8*(2*PI()*$B$7/2-$B$10*$B$9))</f>
        <v>1.1242378144519325</v>
      </c>
      <c r="R17" s="12">
        <f t="shared" ref="R17:R32" si="6">O17*9.81/P17^2</f>
        <v>0.29961189538149513</v>
      </c>
      <c r="S17" s="20">
        <f t="shared" ref="S17:S45" si="7">Q17/P17</f>
        <v>0.11044938603756427</v>
      </c>
      <c r="T17" s="31">
        <f t="shared" ref="T17:T49" si="8">_xlfn.STDEV.S(G17:I17)</f>
        <v>0.20808652046684881</v>
      </c>
      <c r="U17" s="2">
        <f t="shared" ref="U17:U49" si="9">-_xlfn.T.INV(0.025, 2)</f>
        <v>4.3026527297494637</v>
      </c>
      <c r="V17" s="31">
        <f t="shared" ref="V17:V49" si="10">T17*U17/SQRT(COUNT(G17:I17))</f>
        <v>0.51691557279860623</v>
      </c>
      <c r="W17" s="2">
        <v>0.2</v>
      </c>
      <c r="X17" s="26">
        <f t="shared" ref="X17:X49" si="11">SQRT(V17^2+W17^2)</f>
        <v>0.55425780048792384</v>
      </c>
      <c r="Y17" s="33">
        <f t="shared" ref="Y17:Y49" si="12">IFERROR(K17*(X17/J17), 0)</f>
        <v>5.4986020731283828E-5</v>
      </c>
      <c r="Z17" s="26">
        <v>0</v>
      </c>
      <c r="AA17" s="26">
        <v>0</v>
      </c>
      <c r="AB17" s="2">
        <v>0.01</v>
      </c>
      <c r="AC17" s="2">
        <v>0.01</v>
      </c>
      <c r="AD17" s="2">
        <f t="shared" ref="AD17:AD45" si="13">SQRT(Z17^2+AB17^2)</f>
        <v>0.01</v>
      </c>
      <c r="AE17" s="2">
        <f t="shared" ref="AE17:AE45" si="14">SQRT(AA17^2+AC17^2)</f>
        <v>0.01</v>
      </c>
      <c r="AF17" s="26">
        <f>L17*AD17/D17</f>
        <v>3.5211912101471031E-2</v>
      </c>
      <c r="AG17" s="26">
        <f t="shared" ref="AG17:AG44" si="15">M17*AE17</f>
        <v>0</v>
      </c>
      <c r="AH17" s="26">
        <f t="shared" ref="AH17:AH27" si="16">AF17</f>
        <v>3.5211912101471031E-2</v>
      </c>
      <c r="AI17" s="26">
        <f t="shared" si="0"/>
        <v>3.6307594515548498E-2</v>
      </c>
      <c r="AJ17" s="2">
        <v>0</v>
      </c>
      <c r="AK17" s="12">
        <f t="shared" ref="AK17:AK49" si="17">IFERROR(Q17*Y17/K17, 0)</f>
        <v>2.0585318079401348E-2</v>
      </c>
      <c r="AL17" s="12">
        <f t="shared" ref="AL17:AL49" si="18">R17*AI17/O17</f>
        <v>3.4377692148134039E-3</v>
      </c>
      <c r="AM17" s="31">
        <f t="shared" ref="AM17:AM49" si="19">IFERROR(S17*AK17/Q17, 0)</f>
        <v>2.0223797083059789E-3</v>
      </c>
    </row>
    <row r="18" spans="1:39" x14ac:dyDescent="0.25">
      <c r="A18" s="2" t="s">
        <v>72</v>
      </c>
      <c r="B18" s="1" t="s">
        <v>13</v>
      </c>
      <c r="C18" s="3">
        <v>1800</v>
      </c>
      <c r="D18" s="15">
        <v>1.43</v>
      </c>
      <c r="E18" s="24">
        <v>0</v>
      </c>
      <c r="F18" s="15">
        <v>7.25</v>
      </c>
      <c r="G18" s="15">
        <v>61.12</v>
      </c>
      <c r="H18" s="15">
        <v>60.8</v>
      </c>
      <c r="I18" s="15">
        <v>60.86</v>
      </c>
      <c r="J18" s="26">
        <f t="shared" si="1"/>
        <v>60.926666666666655</v>
      </c>
      <c r="K18" s="17">
        <f>$D$3/$B$2/J18</f>
        <v>1.4919624784090562E-3</v>
      </c>
      <c r="L18" s="15">
        <f t="shared" si="2"/>
        <v>5.035303430510357</v>
      </c>
      <c r="M18" s="24">
        <f t="shared" si="3"/>
        <v>0</v>
      </c>
      <c r="N18" s="15">
        <f t="shared" si="4"/>
        <v>5.035303430510357</v>
      </c>
      <c r="O18" s="15">
        <f t="shared" si="5"/>
        <v>5.0949705699168666</v>
      </c>
      <c r="P18" s="14">
        <f>$B$7/2*2*PI()/60*C18</f>
        <v>10.178760197630929</v>
      </c>
      <c r="Q18" s="14">
        <f>K18/($B$8*(2*PI()*$B$7/2-$B$10*$B$9))</f>
        <v>0.55855146039161829</v>
      </c>
      <c r="R18" s="12">
        <f t="shared" si="6"/>
        <v>0.48241513130647301</v>
      </c>
      <c r="S18" s="20">
        <f t="shared" si="7"/>
        <v>5.487421351390312E-2</v>
      </c>
      <c r="T18" s="31">
        <f t="shared" si="8"/>
        <v>0.17009801096230737</v>
      </c>
      <c r="U18" s="2">
        <f t="shared" si="9"/>
        <v>4.3026527297494637</v>
      </c>
      <c r="V18" s="31">
        <f t="shared" si="10"/>
        <v>0.42254688372518895</v>
      </c>
      <c r="W18" s="2">
        <v>0.2</v>
      </c>
      <c r="X18" s="26">
        <f t="shared" si="11"/>
        <v>0.46748889713646502</v>
      </c>
      <c r="Y18" s="33">
        <f t="shared" si="12"/>
        <v>1.1447793417230061E-5</v>
      </c>
      <c r="Z18" s="26">
        <v>0</v>
      </c>
      <c r="AA18" s="26">
        <v>0</v>
      </c>
      <c r="AB18" s="2">
        <v>0.01</v>
      </c>
      <c r="AC18" s="2">
        <v>0.01</v>
      </c>
      <c r="AD18" s="2">
        <f t="shared" si="13"/>
        <v>0.01</v>
      </c>
      <c r="AE18" s="2">
        <f t="shared" si="14"/>
        <v>0.01</v>
      </c>
      <c r="AF18" s="26">
        <f t="shared" ref="AF17:AF27" si="20">L18*AD18/D18</f>
        <v>3.5211912101471031E-2</v>
      </c>
      <c r="AG18" s="26">
        <f t="shared" si="15"/>
        <v>0</v>
      </c>
      <c r="AH18" s="26">
        <f t="shared" si="16"/>
        <v>3.5211912101471031E-2</v>
      </c>
      <c r="AI18" s="26">
        <f t="shared" si="0"/>
        <v>3.5223815341371312E-2</v>
      </c>
      <c r="AJ18" s="2">
        <v>0</v>
      </c>
      <c r="AK18" s="11">
        <f t="shared" si="17"/>
        <v>4.2857523724549674E-3</v>
      </c>
      <c r="AL18" s="12">
        <f t="shared" si="18"/>
        <v>3.3351520425563249E-3</v>
      </c>
      <c r="AM18" s="31">
        <f t="shared" si="19"/>
        <v>4.2104856478026285E-4</v>
      </c>
    </row>
    <row r="19" spans="1:39" x14ac:dyDescent="0.25">
      <c r="A19" s="2" t="s">
        <v>72</v>
      </c>
      <c r="B19" s="1" t="s">
        <v>14</v>
      </c>
      <c r="C19" s="3">
        <v>1800</v>
      </c>
      <c r="D19" s="15">
        <v>1.56</v>
      </c>
      <c r="E19" s="24">
        <v>0</v>
      </c>
      <c r="F19" s="15">
        <v>4.5</v>
      </c>
      <c r="G19" s="24">
        <v>0</v>
      </c>
      <c r="H19" s="24">
        <v>0</v>
      </c>
      <c r="I19" s="24">
        <v>0</v>
      </c>
      <c r="J19" s="26">
        <f t="shared" si="1"/>
        <v>0</v>
      </c>
      <c r="K19" s="24">
        <v>0</v>
      </c>
      <c r="L19" s="15">
        <f t="shared" si="2"/>
        <v>5.4930582878294816</v>
      </c>
      <c r="M19" s="24">
        <f t="shared" si="3"/>
        <v>0</v>
      </c>
      <c r="N19" s="15">
        <f t="shared" si="4"/>
        <v>5.4930582878294816</v>
      </c>
      <c r="O19" s="15">
        <f t="shared" si="5"/>
        <v>5.4930582878294816</v>
      </c>
      <c r="P19" s="14">
        <f>$B$7/2*2*PI()/60*C19</f>
        <v>10.178760197630929</v>
      </c>
      <c r="Q19" s="13">
        <f>K19/($B$8*(2*PI()*$B$7/2-$B$10*$B$9))</f>
        <v>0</v>
      </c>
      <c r="R19" s="12">
        <f t="shared" si="6"/>
        <v>0.52010789833484894</v>
      </c>
      <c r="S19" s="20">
        <f t="shared" si="7"/>
        <v>0</v>
      </c>
      <c r="T19" s="31">
        <f t="shared" si="8"/>
        <v>0</v>
      </c>
      <c r="U19" s="2">
        <f t="shared" si="9"/>
        <v>4.3026527297494637</v>
      </c>
      <c r="V19" s="31">
        <f t="shared" si="10"/>
        <v>0</v>
      </c>
      <c r="W19" s="31">
        <v>0</v>
      </c>
      <c r="X19" s="26">
        <f t="shared" si="11"/>
        <v>0</v>
      </c>
      <c r="Y19" s="26">
        <f t="shared" si="12"/>
        <v>0</v>
      </c>
      <c r="Z19" s="26">
        <v>0</v>
      </c>
      <c r="AA19" s="26">
        <v>0</v>
      </c>
      <c r="AB19" s="2">
        <v>0.01</v>
      </c>
      <c r="AC19" s="2">
        <v>0.01</v>
      </c>
      <c r="AD19" s="2">
        <f t="shared" si="13"/>
        <v>0.01</v>
      </c>
      <c r="AE19" s="2">
        <f t="shared" si="14"/>
        <v>0.01</v>
      </c>
      <c r="AF19" s="26">
        <f t="shared" si="20"/>
        <v>3.5211912101471038E-2</v>
      </c>
      <c r="AG19" s="26">
        <f t="shared" si="15"/>
        <v>0</v>
      </c>
      <c r="AH19" s="26">
        <f t="shared" si="16"/>
        <v>3.5211912101471038E-2</v>
      </c>
      <c r="AI19" s="26">
        <f t="shared" si="0"/>
        <v>3.5211912101471038E-2</v>
      </c>
      <c r="AJ19" s="2">
        <v>0</v>
      </c>
      <c r="AK19" s="26">
        <f t="shared" si="17"/>
        <v>0</v>
      </c>
      <c r="AL19" s="12">
        <f t="shared" si="18"/>
        <v>3.3340249893259546E-3</v>
      </c>
      <c r="AM19" s="31">
        <f t="shared" si="19"/>
        <v>0</v>
      </c>
    </row>
    <row r="20" spans="1:39" x14ac:dyDescent="0.25">
      <c r="A20" s="2" t="s">
        <v>72</v>
      </c>
      <c r="B20" s="1" t="s">
        <v>11</v>
      </c>
      <c r="C20" s="3">
        <v>2700</v>
      </c>
      <c r="D20" s="15">
        <v>1.5</v>
      </c>
      <c r="E20" s="24">
        <v>0</v>
      </c>
      <c r="F20" s="15">
        <v>16.5</v>
      </c>
      <c r="G20" s="15">
        <v>18.66</v>
      </c>
      <c r="H20" s="15">
        <v>18.93</v>
      </c>
      <c r="I20" s="15">
        <v>18.55</v>
      </c>
      <c r="J20" s="26">
        <f t="shared" si="1"/>
        <v>18.713333333333335</v>
      </c>
      <c r="K20" s="17">
        <f>$D$3/$B$2/J20</f>
        <v>4.857515172846584E-3</v>
      </c>
      <c r="L20" s="15">
        <f t="shared" si="2"/>
        <v>5.2817868152206549</v>
      </c>
      <c r="M20" s="24">
        <f t="shared" si="3"/>
        <v>0</v>
      </c>
      <c r="N20" s="15">
        <f t="shared" si="4"/>
        <v>5.2817868152206549</v>
      </c>
      <c r="O20" s="15">
        <f t="shared" si="5"/>
        <v>5.9142681980939251</v>
      </c>
      <c r="P20" s="14">
        <f>$B$7/2*2*PI()/60*C20</f>
        <v>15.268140296446393</v>
      </c>
      <c r="Q20" s="14">
        <f>K20/($B$8*(2*PI()*$B$7/2-$B$10*$B$9))</f>
        <v>1.8185257557958669</v>
      </c>
      <c r="R20" s="12">
        <f t="shared" si="6"/>
        <v>0.24888443571404245</v>
      </c>
      <c r="S20" s="20">
        <f t="shared" si="7"/>
        <v>0.11910591077153794</v>
      </c>
      <c r="T20" s="31">
        <f t="shared" si="8"/>
        <v>0.19553345834749905</v>
      </c>
      <c r="U20" s="2">
        <f t="shared" si="9"/>
        <v>4.3026527297494637</v>
      </c>
      <c r="V20" s="31">
        <f t="shared" si="10"/>
        <v>0.48573203778998497</v>
      </c>
      <c r="W20" s="2">
        <v>0.2</v>
      </c>
      <c r="X20" s="26">
        <f t="shared" si="11"/>
        <v>0.52529573816623654</v>
      </c>
      <c r="Y20" s="33">
        <f t="shared" si="12"/>
        <v>1.3635368819241931E-4</v>
      </c>
      <c r="Z20" s="26">
        <v>0</v>
      </c>
      <c r="AA20" s="26">
        <v>0</v>
      </c>
      <c r="AB20" s="2">
        <v>0.01</v>
      </c>
      <c r="AC20" s="2">
        <v>0.01</v>
      </c>
      <c r="AD20" s="2">
        <f t="shared" si="13"/>
        <v>0.01</v>
      </c>
      <c r="AE20" s="2">
        <f t="shared" si="14"/>
        <v>0.01</v>
      </c>
      <c r="AF20" s="26">
        <f t="shared" si="20"/>
        <v>3.5211912101471031E-2</v>
      </c>
      <c r="AG20" s="26">
        <f t="shared" si="15"/>
        <v>0</v>
      </c>
      <c r="AH20" s="26">
        <f t="shared" si="16"/>
        <v>3.5211912101471031E-2</v>
      </c>
      <c r="AI20" s="26">
        <f>SQRT(AH20^2+(16*K20/(PI()^2*$B$6^4*9.81)*(1-($B$6/$B$5)^(4))*Y20)^2)</f>
        <v>5.0007214701646381E-2</v>
      </c>
      <c r="AJ20" s="2">
        <v>0</v>
      </c>
      <c r="AK20" s="12">
        <f t="shared" si="17"/>
        <v>5.1047229921540947E-2</v>
      </c>
      <c r="AL20" s="12">
        <f t="shared" si="18"/>
        <v>2.1044053119980899E-3</v>
      </c>
      <c r="AM20" s="31">
        <f t="shared" si="19"/>
        <v>3.3433822934822006E-3</v>
      </c>
    </row>
    <row r="21" spans="1:39" x14ac:dyDescent="0.25">
      <c r="A21" s="2" t="s">
        <v>72</v>
      </c>
      <c r="B21" s="1" t="s">
        <v>12</v>
      </c>
      <c r="C21" s="3">
        <v>2700</v>
      </c>
      <c r="D21" s="15">
        <v>1.62</v>
      </c>
      <c r="E21" s="24">
        <v>0</v>
      </c>
      <c r="F21" s="15">
        <v>16.5</v>
      </c>
      <c r="G21" s="15">
        <v>19.23</v>
      </c>
      <c r="H21" s="15">
        <v>19.23</v>
      </c>
      <c r="I21" s="15">
        <v>18.96</v>
      </c>
      <c r="J21" s="26">
        <f t="shared" si="1"/>
        <v>19.14</v>
      </c>
      <c r="K21" s="17">
        <f>$D$3/$B$2/J21</f>
        <v>4.7492320063324146E-3</v>
      </c>
      <c r="L21" s="15">
        <f t="shared" si="2"/>
        <v>5.7043297604383083</v>
      </c>
      <c r="M21" s="24">
        <f t="shared" si="3"/>
        <v>0</v>
      </c>
      <c r="N21" s="15">
        <f t="shared" si="4"/>
        <v>5.7043297604383083</v>
      </c>
      <c r="O21" s="15">
        <f t="shared" si="5"/>
        <v>6.3089270373939392</v>
      </c>
      <c r="P21" s="14">
        <f>$B$7/2*2*PI()/60*C21</f>
        <v>15.268140296446393</v>
      </c>
      <c r="Q21" s="14">
        <f>K21/($B$8*(2*PI()*$B$7/2-$B$10*$B$9))</f>
        <v>1.7779873899404386</v>
      </c>
      <c r="R21" s="12">
        <f t="shared" si="6"/>
        <v>0.26549248242900192</v>
      </c>
      <c r="S21" s="20">
        <f t="shared" si="7"/>
        <v>0.11645081558192513</v>
      </c>
      <c r="T21" s="31">
        <f t="shared" si="8"/>
        <v>0.15588457268119871</v>
      </c>
      <c r="U21" s="2">
        <f t="shared" si="9"/>
        <v>4.3026527297494637</v>
      </c>
      <c r="V21" s="31">
        <f t="shared" si="10"/>
        <v>0.38723874567745109</v>
      </c>
      <c r="W21" s="2">
        <v>0.2</v>
      </c>
      <c r="X21" s="26">
        <f t="shared" si="11"/>
        <v>0.43583694904613773</v>
      </c>
      <c r="Y21" s="33">
        <f t="shared" si="12"/>
        <v>1.0814476426082482E-4</v>
      </c>
      <c r="Z21" s="26">
        <v>0</v>
      </c>
      <c r="AA21" s="26">
        <v>0</v>
      </c>
      <c r="AB21" s="2">
        <v>0.01</v>
      </c>
      <c r="AC21" s="2">
        <v>0.01</v>
      </c>
      <c r="AD21" s="2">
        <f t="shared" si="13"/>
        <v>0.01</v>
      </c>
      <c r="AE21" s="2">
        <f t="shared" si="14"/>
        <v>0.01</v>
      </c>
      <c r="AF21" s="26">
        <f t="shared" si="20"/>
        <v>3.5211912101471038E-2</v>
      </c>
      <c r="AG21" s="26">
        <f t="shared" si="15"/>
        <v>0</v>
      </c>
      <c r="AH21" s="26">
        <f t="shared" si="16"/>
        <v>3.5211912101471038E-2</v>
      </c>
      <c r="AI21" s="26">
        <f t="shared" si="0"/>
        <v>4.4699343234926324E-2</v>
      </c>
      <c r="AJ21" s="2">
        <v>0</v>
      </c>
      <c r="AK21" s="12">
        <f t="shared" si="17"/>
        <v>4.0486551696663868E-2</v>
      </c>
      <c r="AL21" s="12">
        <f t="shared" si="18"/>
        <v>1.8810392841836869E-3</v>
      </c>
      <c r="AM21" s="31">
        <f t="shared" si="19"/>
        <v>2.6517015766541635E-3</v>
      </c>
    </row>
    <row r="22" spans="1:39" x14ac:dyDescent="0.25">
      <c r="A22" s="2" t="s">
        <v>72</v>
      </c>
      <c r="B22" s="1" t="s">
        <v>13</v>
      </c>
      <c r="C22" s="3">
        <v>2700</v>
      </c>
      <c r="D22" s="15">
        <v>2.94</v>
      </c>
      <c r="E22" s="24">
        <v>0</v>
      </c>
      <c r="F22" s="15">
        <v>14.5</v>
      </c>
      <c r="G22" s="15">
        <v>31.15</v>
      </c>
      <c r="H22" s="15">
        <v>31.3</v>
      </c>
      <c r="I22" s="15">
        <v>31.22</v>
      </c>
      <c r="J22" s="26">
        <f t="shared" si="1"/>
        <v>31.223333333333333</v>
      </c>
      <c r="K22" s="17">
        <f>$D$3/$B$2/J22</f>
        <v>2.9112939233864334E-3</v>
      </c>
      <c r="L22" s="15">
        <f t="shared" si="2"/>
        <v>10.352302157832483</v>
      </c>
      <c r="M22" s="24">
        <f t="shared" si="3"/>
        <v>0</v>
      </c>
      <c r="N22" s="15">
        <f t="shared" si="4"/>
        <v>10.352302157832483</v>
      </c>
      <c r="O22" s="16">
        <f t="shared" si="5"/>
        <v>10.579493366851725</v>
      </c>
      <c r="P22" s="14">
        <f>$B$7/2*2*PI()/60*C22</f>
        <v>15.268140296446393</v>
      </c>
      <c r="Q22" s="14">
        <f>K22/($B$8*(2*PI()*$B$7/2-$B$10*$B$9))</f>
        <v>1.089911774638411</v>
      </c>
      <c r="R22" s="12">
        <f t="shared" si="6"/>
        <v>0.44520660013320734</v>
      </c>
      <c r="S22" s="20">
        <f t="shared" si="7"/>
        <v>7.1384710480560901E-2</v>
      </c>
      <c r="T22" s="31">
        <f t="shared" si="8"/>
        <v>7.5055534994652423E-2</v>
      </c>
      <c r="U22" s="2">
        <f t="shared" si="9"/>
        <v>4.3026527297494637</v>
      </c>
      <c r="V22" s="31">
        <f t="shared" si="10"/>
        <v>0.18644828495581278</v>
      </c>
      <c r="W22" s="2">
        <v>0.2</v>
      </c>
      <c r="X22" s="26">
        <f t="shared" si="11"/>
        <v>0.27342816783017065</v>
      </c>
      <c r="Y22" s="33">
        <f t="shared" si="12"/>
        <v>2.5494707915661208E-5</v>
      </c>
      <c r="Z22" s="26">
        <v>0</v>
      </c>
      <c r="AA22" s="26">
        <v>0</v>
      </c>
      <c r="AB22" s="2">
        <v>0.01</v>
      </c>
      <c r="AC22" s="2">
        <v>0.01</v>
      </c>
      <c r="AD22" s="2">
        <f t="shared" si="13"/>
        <v>0.01</v>
      </c>
      <c r="AE22" s="2">
        <f t="shared" si="14"/>
        <v>0.01</v>
      </c>
      <c r="AF22" s="26">
        <f t="shared" si="20"/>
        <v>3.5211912101471031E-2</v>
      </c>
      <c r="AG22" s="26">
        <f t="shared" si="15"/>
        <v>0</v>
      </c>
      <c r="AH22" s="26">
        <f t="shared" si="16"/>
        <v>3.5211912101471031E-2</v>
      </c>
      <c r="AI22" s="26">
        <f t="shared" si="0"/>
        <v>3.543602740374957E-2</v>
      </c>
      <c r="AJ22" s="2">
        <v>0</v>
      </c>
      <c r="AK22" s="12">
        <f t="shared" si="17"/>
        <v>9.5445472286509216E-3</v>
      </c>
      <c r="AL22" s="12">
        <f t="shared" si="18"/>
        <v>1.491220111927277E-3</v>
      </c>
      <c r="AM22" s="32">
        <f t="shared" si="19"/>
        <v>6.251283419810062E-4</v>
      </c>
    </row>
    <row r="23" spans="1:39" x14ac:dyDescent="0.25">
      <c r="A23" s="2" t="s">
        <v>72</v>
      </c>
      <c r="B23" s="1" t="s">
        <v>14</v>
      </c>
      <c r="C23" s="3">
        <v>2700</v>
      </c>
      <c r="D23" s="15">
        <v>3.52</v>
      </c>
      <c r="E23" s="24">
        <v>0</v>
      </c>
      <c r="F23" s="15">
        <v>8.5</v>
      </c>
      <c r="G23" s="24">
        <v>0</v>
      </c>
      <c r="H23" s="24">
        <v>0</v>
      </c>
      <c r="I23" s="24">
        <v>0</v>
      </c>
      <c r="J23" s="26">
        <f t="shared" si="1"/>
        <v>0</v>
      </c>
      <c r="K23" s="24">
        <v>0</v>
      </c>
      <c r="L23" s="15">
        <f t="shared" si="2"/>
        <v>12.394593059717804</v>
      </c>
      <c r="M23" s="24">
        <f t="shared" si="3"/>
        <v>0</v>
      </c>
      <c r="N23" s="15">
        <f t="shared" si="4"/>
        <v>12.394593059717804</v>
      </c>
      <c r="O23" s="16">
        <f t="shared" si="5"/>
        <v>12.394593059717804</v>
      </c>
      <c r="P23" s="14">
        <f>$B$7/2*2*PI()/60*C23</f>
        <v>15.268140296446393</v>
      </c>
      <c r="Q23" s="13">
        <f>K23/($B$8*(2*PI()*$B$7/2-$B$10*$B$9))</f>
        <v>0</v>
      </c>
      <c r="R23" s="12">
        <f t="shared" si="6"/>
        <v>0.52158968721899379</v>
      </c>
      <c r="S23" s="20">
        <f t="shared" si="7"/>
        <v>0</v>
      </c>
      <c r="T23" s="31">
        <f t="shared" si="8"/>
        <v>0</v>
      </c>
      <c r="U23" s="2">
        <f t="shared" si="9"/>
        <v>4.3026527297494637</v>
      </c>
      <c r="V23" s="31">
        <f t="shared" si="10"/>
        <v>0</v>
      </c>
      <c r="W23" s="31">
        <v>0</v>
      </c>
      <c r="X23" s="26">
        <f t="shared" si="11"/>
        <v>0</v>
      </c>
      <c r="Y23" s="26">
        <f t="shared" si="12"/>
        <v>0</v>
      </c>
      <c r="Z23" s="26">
        <v>0</v>
      </c>
      <c r="AA23" s="26">
        <v>0</v>
      </c>
      <c r="AB23" s="2">
        <v>0.01</v>
      </c>
      <c r="AC23" s="2">
        <v>0.01</v>
      </c>
      <c r="AD23" s="2">
        <f t="shared" si="13"/>
        <v>0.01</v>
      </c>
      <c r="AE23" s="2">
        <f t="shared" si="14"/>
        <v>0.01</v>
      </c>
      <c r="AF23" s="26">
        <f t="shared" si="20"/>
        <v>3.5211912101471038E-2</v>
      </c>
      <c r="AG23" s="26">
        <f t="shared" si="15"/>
        <v>0</v>
      </c>
      <c r="AH23" s="26">
        <f t="shared" si="16"/>
        <v>3.5211912101471038E-2</v>
      </c>
      <c r="AI23" s="26">
        <f t="shared" si="0"/>
        <v>3.5211912101471038E-2</v>
      </c>
      <c r="AJ23" s="2">
        <v>0</v>
      </c>
      <c r="AK23" s="26">
        <f t="shared" si="17"/>
        <v>0</v>
      </c>
      <c r="AL23" s="12">
        <f t="shared" si="18"/>
        <v>1.4817888841448688E-3</v>
      </c>
      <c r="AM23" s="31">
        <f t="shared" si="19"/>
        <v>0</v>
      </c>
    </row>
    <row r="24" spans="1:39" x14ac:dyDescent="0.25">
      <c r="A24" s="2" t="s">
        <v>72</v>
      </c>
      <c r="B24" s="1" t="s">
        <v>11</v>
      </c>
      <c r="C24" s="3">
        <v>3600</v>
      </c>
      <c r="D24" s="15">
        <v>2.44</v>
      </c>
      <c r="E24" s="24">
        <v>0</v>
      </c>
      <c r="F24" s="15">
        <v>26.5</v>
      </c>
      <c r="G24" s="15">
        <v>14.13</v>
      </c>
      <c r="H24" s="15">
        <v>13.93</v>
      </c>
      <c r="I24" s="15">
        <v>14.06</v>
      </c>
      <c r="J24" s="26">
        <f t="shared" si="1"/>
        <v>14.040000000000001</v>
      </c>
      <c r="K24" s="17">
        <f>$D$3/$B$2/J24</f>
        <v>6.4743803847010263E-3</v>
      </c>
      <c r="L24" s="15">
        <f t="shared" si="2"/>
        <v>8.5917065527589305</v>
      </c>
      <c r="M24" s="24">
        <f t="shared" si="3"/>
        <v>0</v>
      </c>
      <c r="N24" s="15">
        <f t="shared" si="4"/>
        <v>8.5917065527589305</v>
      </c>
      <c r="O24" s="15">
        <f t="shared" si="5"/>
        <v>9.7153171799099631</v>
      </c>
      <c r="P24" s="14">
        <f>$B$7/2*2*PI()/60*C24</f>
        <v>20.357520395261858</v>
      </c>
      <c r="Q24" s="14">
        <f>K24/($B$8*(2*PI()*$B$7/2-$B$10*$B$9))</f>
        <v>2.4238375102179481</v>
      </c>
      <c r="R24" s="12">
        <f t="shared" si="6"/>
        <v>0.229972673478405</v>
      </c>
      <c r="S24" s="20">
        <f t="shared" si="7"/>
        <v>0.1190634941366478</v>
      </c>
      <c r="T24" s="31">
        <f t="shared" si="8"/>
        <v>0.10148891565092275</v>
      </c>
      <c r="U24" s="2">
        <f t="shared" si="9"/>
        <v>4.3026527297494637</v>
      </c>
      <c r="V24" s="31">
        <f t="shared" si="10"/>
        <v>0.25211244269310562</v>
      </c>
      <c r="W24" s="2">
        <v>0.2</v>
      </c>
      <c r="X24" s="26">
        <f t="shared" si="11"/>
        <v>0.321808458186985</v>
      </c>
      <c r="Y24" s="33">
        <f t="shared" si="12"/>
        <v>1.4839817445275611E-4</v>
      </c>
      <c r="Z24" s="26">
        <v>0</v>
      </c>
      <c r="AA24" s="26">
        <v>0</v>
      </c>
      <c r="AB24" s="2">
        <v>0.01</v>
      </c>
      <c r="AC24" s="2">
        <v>0.01</v>
      </c>
      <c r="AD24" s="2">
        <f t="shared" si="13"/>
        <v>0.01</v>
      </c>
      <c r="AE24" s="2">
        <f t="shared" si="14"/>
        <v>0.01</v>
      </c>
      <c r="AF24" s="26">
        <f t="shared" si="20"/>
        <v>3.5211912101471031E-2</v>
      </c>
      <c r="AG24" s="26">
        <f t="shared" si="15"/>
        <v>0</v>
      </c>
      <c r="AH24" s="26">
        <f t="shared" si="16"/>
        <v>3.5211912101471031E-2</v>
      </c>
      <c r="AI24" s="26">
        <f t="shared" si="0"/>
        <v>6.2393678094612104E-2</v>
      </c>
      <c r="AJ24" s="2">
        <v>0</v>
      </c>
      <c r="AK24" s="12">
        <f t="shared" si="17"/>
        <v>5.5556368380271962E-2</v>
      </c>
      <c r="AL24" s="12">
        <f t="shared" si="18"/>
        <v>1.4769297485459881E-3</v>
      </c>
      <c r="AM24" s="31">
        <f t="shared" si="19"/>
        <v>2.729034150603259E-3</v>
      </c>
    </row>
    <row r="25" spans="1:39" x14ac:dyDescent="0.25">
      <c r="A25" s="2" t="s">
        <v>72</v>
      </c>
      <c r="B25" s="1" t="s">
        <v>12</v>
      </c>
      <c r="C25" s="3">
        <v>3600</v>
      </c>
      <c r="D25" s="15">
        <v>2.89</v>
      </c>
      <c r="E25" s="24">
        <v>0</v>
      </c>
      <c r="F25" s="15">
        <v>26.5</v>
      </c>
      <c r="G25" s="15">
        <v>15.04</v>
      </c>
      <c r="H25" s="15">
        <v>14.35</v>
      </c>
      <c r="I25" s="15">
        <v>14.31</v>
      </c>
      <c r="J25" s="26">
        <f t="shared" si="1"/>
        <v>14.566666666666668</v>
      </c>
      <c r="K25" s="17">
        <f>$D$3/$B$2/J25</f>
        <v>6.2402952357804853E-3</v>
      </c>
      <c r="L25" s="15">
        <f t="shared" si="2"/>
        <v>10.17624259732513</v>
      </c>
      <c r="M25" s="24">
        <f t="shared" si="3"/>
        <v>0</v>
      </c>
      <c r="N25" s="15">
        <f t="shared" si="4"/>
        <v>10.17624259732513</v>
      </c>
      <c r="O25" s="16">
        <f t="shared" si="5"/>
        <v>11.220072392427547</v>
      </c>
      <c r="P25" s="14">
        <f>$B$7/2*2*PI()/60*C25</f>
        <v>20.357520395261858</v>
      </c>
      <c r="Q25" s="14">
        <f>K25/($B$8*(2*PI()*$B$7/2-$B$10*$B$9))</f>
        <v>2.336202195203203</v>
      </c>
      <c r="R25" s="12">
        <f t="shared" si="6"/>
        <v>0.2655919510320835</v>
      </c>
      <c r="S25" s="20">
        <f t="shared" si="7"/>
        <v>0.11475868130516259</v>
      </c>
      <c r="T25" s="31">
        <f t="shared" si="8"/>
        <v>0.41040630274562412</v>
      </c>
      <c r="U25" s="2">
        <f t="shared" si="9"/>
        <v>4.3026527297494637</v>
      </c>
      <c r="V25" s="31">
        <f t="shared" si="10"/>
        <v>1.0195057737904283</v>
      </c>
      <c r="W25" s="2">
        <v>0.2</v>
      </c>
      <c r="X25" s="26">
        <f t="shared" si="11"/>
        <v>1.0389379301921842</v>
      </c>
      <c r="Y25" s="33">
        <f t="shared" si="12"/>
        <v>4.4507639011784382E-4</v>
      </c>
      <c r="Z25" s="26">
        <v>0</v>
      </c>
      <c r="AA25" s="26">
        <v>0</v>
      </c>
      <c r="AB25" s="2">
        <v>0.01</v>
      </c>
      <c r="AC25" s="2">
        <v>0.01</v>
      </c>
      <c r="AD25" s="2">
        <f t="shared" si="13"/>
        <v>0.01</v>
      </c>
      <c r="AE25" s="2">
        <f t="shared" si="14"/>
        <v>0.01</v>
      </c>
      <c r="AF25" s="26">
        <f t="shared" si="20"/>
        <v>3.5211912101471038E-2</v>
      </c>
      <c r="AG25" s="26">
        <f t="shared" si="15"/>
        <v>0</v>
      </c>
      <c r="AH25" s="26">
        <f t="shared" si="16"/>
        <v>3.5211912101471038E-2</v>
      </c>
      <c r="AI25" s="25">
        <f t="shared" si="0"/>
        <v>0.15300495970901143</v>
      </c>
      <c r="AJ25" s="2">
        <v>0</v>
      </c>
      <c r="AK25" s="13">
        <f t="shared" si="17"/>
        <v>0.16662487916669469</v>
      </c>
      <c r="AL25" s="12">
        <f t="shared" si="18"/>
        <v>3.6218024577210038E-3</v>
      </c>
      <c r="AM25" s="31">
        <f t="shared" si="19"/>
        <v>8.1849299881077871E-3</v>
      </c>
    </row>
    <row r="26" spans="1:39" x14ac:dyDescent="0.25">
      <c r="A26" s="2" t="s">
        <v>72</v>
      </c>
      <c r="B26" s="1" t="s">
        <v>13</v>
      </c>
      <c r="C26" s="3">
        <v>3600</v>
      </c>
      <c r="D26" s="15">
        <v>5.85</v>
      </c>
      <c r="E26" s="24">
        <v>0</v>
      </c>
      <c r="F26" s="15">
        <v>20</v>
      </c>
      <c r="G26" s="15">
        <v>37.01</v>
      </c>
      <c r="H26" s="15">
        <v>37.04</v>
      </c>
      <c r="I26" s="15">
        <v>37.07</v>
      </c>
      <c r="J26" s="26">
        <f t="shared" si="1"/>
        <v>37.04</v>
      </c>
      <c r="K26" s="17">
        <f>$D$3/$B$2/J26</f>
        <v>2.454111787289482E-3</v>
      </c>
      <c r="L26" s="15">
        <f t="shared" si="2"/>
        <v>20.598968579360555</v>
      </c>
      <c r="M26" s="24">
        <f t="shared" si="3"/>
        <v>0</v>
      </c>
      <c r="N26" s="15">
        <f t="shared" si="4"/>
        <v>20.598968579360555</v>
      </c>
      <c r="O26" s="16">
        <f t="shared" si="5"/>
        <v>20.76040744514296</v>
      </c>
      <c r="P26" s="14">
        <f>$B$7/2*2*PI()/60*C26</f>
        <v>20.357520395261858</v>
      </c>
      <c r="Q26" s="14">
        <f>K26/($B$8*(2*PI()*$B$7/2-$B$10*$B$9))</f>
        <v>0.91875482298758082</v>
      </c>
      <c r="R26" s="12">
        <f t="shared" si="6"/>
        <v>0.49142259735309596</v>
      </c>
      <c r="S26" s="20">
        <f t="shared" si="7"/>
        <v>4.5130978879010131E-2</v>
      </c>
      <c r="T26" s="31">
        <f t="shared" si="8"/>
        <v>3.0000000000001137E-2</v>
      </c>
      <c r="U26" s="2">
        <f t="shared" si="9"/>
        <v>4.3026527297494637</v>
      </c>
      <c r="V26" s="31">
        <f t="shared" si="10"/>
        <v>7.4524131352512762E-2</v>
      </c>
      <c r="W26" s="2">
        <v>0.2</v>
      </c>
      <c r="X26" s="26">
        <f t="shared" si="11"/>
        <v>0.21343347008809696</v>
      </c>
      <c r="Y26" s="33">
        <f t="shared" si="12"/>
        <v>1.414118776310194E-5</v>
      </c>
      <c r="Z26" s="26">
        <v>0</v>
      </c>
      <c r="AA26" s="26">
        <v>0</v>
      </c>
      <c r="AB26" s="2">
        <v>0.01</v>
      </c>
      <c r="AC26" s="2">
        <v>0.01</v>
      </c>
      <c r="AD26" s="2">
        <f t="shared" si="13"/>
        <v>0.01</v>
      </c>
      <c r="AE26" s="2">
        <f t="shared" si="14"/>
        <v>0.01</v>
      </c>
      <c r="AF26" s="26">
        <f t="shared" si="20"/>
        <v>3.5211912101471038E-2</v>
      </c>
      <c r="AG26" s="26">
        <f t="shared" si="15"/>
        <v>0</v>
      </c>
      <c r="AH26" s="26">
        <f t="shared" si="16"/>
        <v>3.5211912101471038E-2</v>
      </c>
      <c r="AI26" s="26">
        <f t="shared" si="0"/>
        <v>3.526102967236603E-2</v>
      </c>
      <c r="AJ26" s="2">
        <v>0</v>
      </c>
      <c r="AK26" s="11">
        <f t="shared" si="17"/>
        <v>5.2940882837584947E-3</v>
      </c>
      <c r="AL26" s="12">
        <f t="shared" si="18"/>
        <v>8.3466891643269373E-4</v>
      </c>
      <c r="AM26" s="32">
        <f t="shared" si="19"/>
        <v>2.6005565417439914E-4</v>
      </c>
    </row>
    <row r="27" spans="1:39" x14ac:dyDescent="0.25">
      <c r="A27" s="2" t="s">
        <v>72</v>
      </c>
      <c r="B27" s="1" t="s">
        <v>14</v>
      </c>
      <c r="C27" s="3">
        <v>3600</v>
      </c>
      <c r="D27" s="15">
        <v>6.18</v>
      </c>
      <c r="E27" s="24">
        <v>0</v>
      </c>
      <c r="F27" s="15">
        <v>13</v>
      </c>
      <c r="G27" s="24">
        <v>0</v>
      </c>
      <c r="H27" s="24">
        <v>0</v>
      </c>
      <c r="I27" s="24">
        <v>0</v>
      </c>
      <c r="J27" s="26">
        <f t="shared" si="1"/>
        <v>0</v>
      </c>
      <c r="K27" s="24">
        <v>0</v>
      </c>
      <c r="L27" s="15">
        <f t="shared" si="2"/>
        <v>21.760961678709098</v>
      </c>
      <c r="M27" s="24">
        <f t="shared" si="3"/>
        <v>0</v>
      </c>
      <c r="N27" s="15">
        <f t="shared" si="4"/>
        <v>21.760961678709098</v>
      </c>
      <c r="O27" s="16">
        <f t="shared" si="5"/>
        <v>21.760961678709098</v>
      </c>
      <c r="P27" s="14">
        <f>$B$7/2*2*PI()/60*C27</f>
        <v>20.357520395261858</v>
      </c>
      <c r="Q27" s="13">
        <f>K27/($B$8*(2*PI()*$B$7/2-$B$10*$B$9))</f>
        <v>0</v>
      </c>
      <c r="R27" s="12">
        <f t="shared" si="6"/>
        <v>0.51510686085085999</v>
      </c>
      <c r="S27" s="20">
        <f t="shared" si="7"/>
        <v>0</v>
      </c>
      <c r="T27" s="31">
        <f t="shared" si="8"/>
        <v>0</v>
      </c>
      <c r="U27" s="2">
        <f t="shared" si="9"/>
        <v>4.3026527297494637</v>
      </c>
      <c r="V27" s="31">
        <f t="shared" si="10"/>
        <v>0</v>
      </c>
      <c r="W27" s="31">
        <v>0</v>
      </c>
      <c r="X27" s="26">
        <f t="shared" si="11"/>
        <v>0</v>
      </c>
      <c r="Y27" s="26">
        <f t="shared" si="12"/>
        <v>0</v>
      </c>
      <c r="Z27" s="26">
        <v>0</v>
      </c>
      <c r="AA27" s="26">
        <v>0</v>
      </c>
      <c r="AB27" s="2">
        <v>0.01</v>
      </c>
      <c r="AC27" s="2">
        <v>0.01</v>
      </c>
      <c r="AD27" s="2">
        <f t="shared" si="13"/>
        <v>0.01</v>
      </c>
      <c r="AE27" s="2">
        <f t="shared" si="14"/>
        <v>0.01</v>
      </c>
      <c r="AF27" s="26">
        <f t="shared" si="20"/>
        <v>3.5211912101471031E-2</v>
      </c>
      <c r="AG27" s="26">
        <f t="shared" si="15"/>
        <v>0</v>
      </c>
      <c r="AH27" s="26">
        <f t="shared" si="16"/>
        <v>3.5211912101471031E-2</v>
      </c>
      <c r="AI27" s="26">
        <f>SQRT(AH27^2+(16*K27/(PI()^2*$B$6^4*9.81)*(1-($B$6/$B$5)^(4))*Y27)^2)</f>
        <v>3.5211912101471031E-2</v>
      </c>
      <c r="AJ27" s="2">
        <v>0</v>
      </c>
      <c r="AK27" s="26">
        <f t="shared" si="17"/>
        <v>0</v>
      </c>
      <c r="AL27" s="12">
        <f>R27*AI27/O27</f>
        <v>8.3350624733148865E-4</v>
      </c>
      <c r="AM27" s="31">
        <f t="shared" si="19"/>
        <v>0</v>
      </c>
    </row>
    <row r="28" spans="1:39" x14ac:dyDescent="0.25">
      <c r="A28" s="2" t="s">
        <v>72</v>
      </c>
      <c r="B28" s="1" t="s">
        <v>44</v>
      </c>
      <c r="C28" s="3">
        <v>1800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6">
        <f t="shared" si="1"/>
        <v>0</v>
      </c>
      <c r="K28" s="21">
        <v>4.0000000000000001E-3</v>
      </c>
      <c r="L28" s="24">
        <f t="shared" si="2"/>
        <v>0</v>
      </c>
      <c r="M28" s="24">
        <f t="shared" si="3"/>
        <v>0</v>
      </c>
      <c r="N28" s="24">
        <f t="shared" si="4"/>
        <v>0</v>
      </c>
      <c r="O28" s="15">
        <v>2.58</v>
      </c>
      <c r="P28" s="14">
        <f>$B$7/2*2*PI()/60*C28</f>
        <v>10.178760197630929</v>
      </c>
      <c r="Q28" s="14">
        <f>K28/($B$8*(2*PI()*$B$7/2-$B$10*$B$9))</f>
        <v>1.4974946581424107</v>
      </c>
      <c r="R28" s="12">
        <f>O28*9.81/P28^2</f>
        <v>0.24428620768088338</v>
      </c>
      <c r="S28" s="20">
        <f t="shared" si="7"/>
        <v>0.14711955376362509</v>
      </c>
      <c r="T28" s="31">
        <f t="shared" si="8"/>
        <v>0</v>
      </c>
      <c r="U28" s="2">
        <f t="shared" si="9"/>
        <v>4.3026527297494637</v>
      </c>
      <c r="V28" s="31">
        <f t="shared" si="10"/>
        <v>0</v>
      </c>
      <c r="W28" s="31">
        <v>0</v>
      </c>
      <c r="X28" s="26">
        <f t="shared" si="11"/>
        <v>0</v>
      </c>
      <c r="Y28" s="26">
        <f t="shared" si="12"/>
        <v>0</v>
      </c>
      <c r="Z28" s="26">
        <v>0</v>
      </c>
      <c r="AA28" s="26">
        <v>0</v>
      </c>
      <c r="AB28" s="2">
        <v>0.01</v>
      </c>
      <c r="AC28" s="2">
        <v>0.01</v>
      </c>
      <c r="AD28" s="2">
        <f t="shared" si="13"/>
        <v>0.01</v>
      </c>
      <c r="AE28" s="2">
        <f t="shared" si="14"/>
        <v>0.01</v>
      </c>
      <c r="AF28" s="26">
        <f>L28*AD28</f>
        <v>0</v>
      </c>
      <c r="AG28" s="26">
        <f t="shared" si="15"/>
        <v>0</v>
      </c>
      <c r="AH28" s="26">
        <v>0</v>
      </c>
      <c r="AI28" s="26">
        <f>SQRT(AF28^2+(16*K28/(PI()^2*$B$6^4*9.81)*(1-($B$6/$B$5)^(4))*Y28)^2)</f>
        <v>0</v>
      </c>
      <c r="AJ28" s="2">
        <v>0</v>
      </c>
      <c r="AK28" s="26">
        <f t="shared" si="17"/>
        <v>0</v>
      </c>
      <c r="AL28" s="26">
        <f t="shared" si="18"/>
        <v>0</v>
      </c>
      <c r="AM28" s="31">
        <f t="shared" si="19"/>
        <v>0</v>
      </c>
    </row>
    <row r="29" spans="1:39" x14ac:dyDescent="0.25">
      <c r="A29" s="2" t="s">
        <v>72</v>
      </c>
      <c r="B29" s="1" t="s">
        <v>44</v>
      </c>
      <c r="C29" s="3">
        <v>1800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6">
        <f t="shared" si="1"/>
        <v>0</v>
      </c>
      <c r="K29" s="21">
        <v>3.3E-3</v>
      </c>
      <c r="L29" s="24">
        <f t="shared" si="2"/>
        <v>0</v>
      </c>
      <c r="M29" s="24">
        <f t="shared" si="3"/>
        <v>0</v>
      </c>
      <c r="N29" s="24">
        <f t="shared" si="4"/>
        <v>0</v>
      </c>
      <c r="O29" s="15">
        <v>4.1399999999999997</v>
      </c>
      <c r="P29" s="14">
        <f>$B$7/2*2*PI()/60*C29</f>
        <v>10.178760197630929</v>
      </c>
      <c r="Q29" s="14">
        <f>K29/($B$8*(2*PI()*$B$7/2-$B$10*$B$9))</f>
        <v>1.2354330929674888</v>
      </c>
      <c r="R29" s="12">
        <f>O29*9.81/P29^2</f>
        <v>0.39199414720885933</v>
      </c>
      <c r="S29" s="20">
        <f t="shared" si="7"/>
        <v>0.12137363185499071</v>
      </c>
      <c r="T29" s="31">
        <f t="shared" si="8"/>
        <v>0</v>
      </c>
      <c r="U29" s="2">
        <f t="shared" si="9"/>
        <v>4.3026527297494637</v>
      </c>
      <c r="V29" s="31">
        <f t="shared" si="10"/>
        <v>0</v>
      </c>
      <c r="W29" s="31">
        <v>0</v>
      </c>
      <c r="X29" s="26">
        <f t="shared" si="11"/>
        <v>0</v>
      </c>
      <c r="Y29" s="26">
        <f t="shared" si="12"/>
        <v>0</v>
      </c>
      <c r="Z29" s="26">
        <v>0</v>
      </c>
      <c r="AA29" s="26">
        <v>0</v>
      </c>
      <c r="AB29" s="2">
        <v>0.01</v>
      </c>
      <c r="AC29" s="2">
        <v>0.01</v>
      </c>
      <c r="AD29" s="2">
        <f t="shared" si="13"/>
        <v>0.01</v>
      </c>
      <c r="AE29" s="2">
        <f t="shared" si="14"/>
        <v>0.01</v>
      </c>
      <c r="AF29" s="26">
        <f>L29*AD29</f>
        <v>0</v>
      </c>
      <c r="AG29" s="26">
        <f t="shared" si="15"/>
        <v>0</v>
      </c>
      <c r="AH29" s="26">
        <v>0</v>
      </c>
      <c r="AI29" s="26">
        <f>SQRT(AF29^2+(16*K29/(PI()^2*$B$6^4*9.81)*(1-($B$6/$B$5)^(4))*Y29)^2)</f>
        <v>0</v>
      </c>
      <c r="AJ29" s="2">
        <v>0</v>
      </c>
      <c r="AK29" s="26">
        <f t="shared" si="17"/>
        <v>0</v>
      </c>
      <c r="AL29" s="26">
        <f t="shared" si="18"/>
        <v>0</v>
      </c>
      <c r="AM29" s="31">
        <f t="shared" si="19"/>
        <v>0</v>
      </c>
    </row>
    <row r="30" spans="1:39" x14ac:dyDescent="0.25">
      <c r="A30" s="2" t="s">
        <v>72</v>
      </c>
      <c r="B30" s="1" t="s">
        <v>44</v>
      </c>
      <c r="C30" s="3">
        <v>1800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6">
        <f t="shared" si="1"/>
        <v>0</v>
      </c>
      <c r="K30" s="21">
        <v>2.5999999999999999E-3</v>
      </c>
      <c r="L30" s="24">
        <f t="shared" si="2"/>
        <v>0</v>
      </c>
      <c r="M30" s="24">
        <f t="shared" si="3"/>
        <v>0</v>
      </c>
      <c r="N30" s="24">
        <f t="shared" si="4"/>
        <v>0</v>
      </c>
      <c r="O30" s="15">
        <v>4.96</v>
      </c>
      <c r="P30" s="14">
        <f>$B$7/2*2*PI()/60*C30</f>
        <v>10.178760197630929</v>
      </c>
      <c r="Q30" s="14">
        <f>K30/($B$8*(2*PI()*$B$7/2-$B$10*$B$9))</f>
        <v>0.97337152779256686</v>
      </c>
      <c r="R30" s="12">
        <f>O30*9.81/P30^2</f>
        <v>0.46963550003766724</v>
      </c>
      <c r="S30" s="20">
        <f t="shared" si="7"/>
        <v>9.5627709946356304E-2</v>
      </c>
      <c r="T30" s="31">
        <f t="shared" si="8"/>
        <v>0</v>
      </c>
      <c r="U30" s="2">
        <f t="shared" si="9"/>
        <v>4.3026527297494637</v>
      </c>
      <c r="V30" s="31">
        <f t="shared" si="10"/>
        <v>0</v>
      </c>
      <c r="W30" s="31">
        <v>0</v>
      </c>
      <c r="X30" s="26">
        <f t="shared" si="11"/>
        <v>0</v>
      </c>
      <c r="Y30" s="26">
        <f t="shared" si="12"/>
        <v>0</v>
      </c>
      <c r="Z30" s="26">
        <v>0</v>
      </c>
      <c r="AA30" s="26">
        <v>0</v>
      </c>
      <c r="AB30" s="2">
        <v>0.01</v>
      </c>
      <c r="AC30" s="2">
        <v>0.01</v>
      </c>
      <c r="AD30" s="2">
        <f t="shared" si="13"/>
        <v>0.01</v>
      </c>
      <c r="AE30" s="2">
        <f t="shared" si="14"/>
        <v>0.01</v>
      </c>
      <c r="AF30" s="26">
        <f>L30*AD30</f>
        <v>0</v>
      </c>
      <c r="AG30" s="26">
        <f t="shared" si="15"/>
        <v>0</v>
      </c>
      <c r="AH30" s="26">
        <v>0</v>
      </c>
      <c r="AI30" s="26">
        <f>SQRT(AF30^2+(16*K30/(PI()^2*$B$6^4*9.81)*(1-($B$6/$B$5)^(4))*Y30)^2)</f>
        <v>0</v>
      </c>
      <c r="AJ30" s="2">
        <v>0</v>
      </c>
      <c r="AK30" s="26">
        <f t="shared" si="17"/>
        <v>0</v>
      </c>
      <c r="AL30" s="26">
        <f t="shared" si="18"/>
        <v>0</v>
      </c>
      <c r="AM30" s="31">
        <f t="shared" si="19"/>
        <v>0</v>
      </c>
    </row>
    <row r="31" spans="1:39" x14ac:dyDescent="0.25">
      <c r="A31" s="2" t="s">
        <v>72</v>
      </c>
      <c r="B31" s="1" t="s">
        <v>44</v>
      </c>
      <c r="C31" s="3">
        <v>1800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6">
        <f t="shared" si="1"/>
        <v>0</v>
      </c>
      <c r="K31" s="21">
        <v>2E-3</v>
      </c>
      <c r="L31" s="24">
        <f t="shared" si="2"/>
        <v>0</v>
      </c>
      <c r="M31" s="24">
        <f t="shared" si="3"/>
        <v>0</v>
      </c>
      <c r="N31" s="24">
        <f t="shared" si="4"/>
        <v>0</v>
      </c>
      <c r="O31" s="15">
        <v>5.4</v>
      </c>
      <c r="P31" s="14">
        <f>$B$7/2*2*PI()/60*C31</f>
        <v>10.178760197630929</v>
      </c>
      <c r="Q31" s="13">
        <f>K31/($B$8*(2*PI()*$B$7/2-$B$10*$B$9))</f>
        <v>0.74874732907120534</v>
      </c>
      <c r="R31" s="12">
        <f>O31*9.81/P31^2</f>
        <v>0.51129671375068619</v>
      </c>
      <c r="S31" s="20">
        <f t="shared" si="7"/>
        <v>7.3559776881812547E-2</v>
      </c>
      <c r="T31" s="31">
        <f t="shared" si="8"/>
        <v>0</v>
      </c>
      <c r="U31" s="2">
        <f t="shared" si="9"/>
        <v>4.3026527297494637</v>
      </c>
      <c r="V31" s="31">
        <f t="shared" si="10"/>
        <v>0</v>
      </c>
      <c r="W31" s="31">
        <v>0</v>
      </c>
      <c r="X31" s="26">
        <f t="shared" si="11"/>
        <v>0</v>
      </c>
      <c r="Y31" s="26">
        <f t="shared" si="12"/>
        <v>0</v>
      </c>
      <c r="Z31" s="26">
        <v>0</v>
      </c>
      <c r="AA31" s="26">
        <v>0</v>
      </c>
      <c r="AB31" s="2">
        <v>0.01</v>
      </c>
      <c r="AC31" s="2">
        <v>0.01</v>
      </c>
      <c r="AD31" s="2">
        <f t="shared" si="13"/>
        <v>0.01</v>
      </c>
      <c r="AE31" s="2">
        <f t="shared" si="14"/>
        <v>0.01</v>
      </c>
      <c r="AF31" s="26">
        <f>L31*AD31</f>
        <v>0</v>
      </c>
      <c r="AG31" s="26">
        <f t="shared" si="15"/>
        <v>0</v>
      </c>
      <c r="AH31" s="26">
        <v>0</v>
      </c>
      <c r="AI31" s="26">
        <f>SQRT(AF31^2+(16*K31/(PI()^2*$B$6^4*9.81)*(1-($B$6/$B$5)^(4))*Y31)^2)</f>
        <v>0</v>
      </c>
      <c r="AJ31" s="2">
        <v>0</v>
      </c>
      <c r="AK31" s="26">
        <f t="shared" si="17"/>
        <v>0</v>
      </c>
      <c r="AL31" s="26">
        <f t="shared" si="18"/>
        <v>0</v>
      </c>
      <c r="AM31" s="31">
        <f t="shared" si="19"/>
        <v>0</v>
      </c>
    </row>
    <row r="32" spans="1:39" x14ac:dyDescent="0.25">
      <c r="A32" s="2" t="s">
        <v>72</v>
      </c>
      <c r="B32" s="1" t="s">
        <v>44</v>
      </c>
      <c r="C32" s="3">
        <v>2700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6">
        <f t="shared" si="1"/>
        <v>0</v>
      </c>
      <c r="K32" s="21">
        <v>6.0000000000000001E-3</v>
      </c>
      <c r="L32" s="24">
        <f t="shared" si="2"/>
        <v>0</v>
      </c>
      <c r="M32" s="24">
        <f t="shared" si="3"/>
        <v>0</v>
      </c>
      <c r="N32" s="24">
        <f t="shared" si="4"/>
        <v>0</v>
      </c>
      <c r="O32" s="15">
        <v>5.77</v>
      </c>
      <c r="P32" s="14">
        <f>$B$7/2*2*PI()/60*C32</f>
        <v>15.268140296446393</v>
      </c>
      <c r="Q32" s="14">
        <f>K32/($B$8*(2*PI()*$B$7/2-$B$10*$B$9))</f>
        <v>2.2462419872136161</v>
      </c>
      <c r="R32" s="12">
        <f>O32*9.81/P32^2</f>
        <v>0.24281333648900894</v>
      </c>
      <c r="S32" s="20">
        <f t="shared" si="7"/>
        <v>0.14711955376362509</v>
      </c>
      <c r="T32" s="31">
        <f t="shared" si="8"/>
        <v>0</v>
      </c>
      <c r="U32" s="2">
        <f t="shared" si="9"/>
        <v>4.3026527297494637</v>
      </c>
      <c r="V32" s="31">
        <f t="shared" si="10"/>
        <v>0</v>
      </c>
      <c r="W32" s="31">
        <v>0</v>
      </c>
      <c r="X32" s="26">
        <f t="shared" si="11"/>
        <v>0</v>
      </c>
      <c r="Y32" s="26">
        <f t="shared" si="12"/>
        <v>0</v>
      </c>
      <c r="Z32" s="26">
        <v>0</v>
      </c>
      <c r="AA32" s="26">
        <v>0</v>
      </c>
      <c r="AB32" s="2">
        <v>0.01</v>
      </c>
      <c r="AC32" s="2">
        <v>0.01</v>
      </c>
      <c r="AD32" s="2">
        <f t="shared" si="13"/>
        <v>0.01</v>
      </c>
      <c r="AE32" s="2">
        <f t="shared" si="14"/>
        <v>0.01</v>
      </c>
      <c r="AF32" s="26">
        <f>L32*AD32</f>
        <v>0</v>
      </c>
      <c r="AG32" s="26">
        <f t="shared" si="15"/>
        <v>0</v>
      </c>
      <c r="AH32" s="26">
        <v>0</v>
      </c>
      <c r="AI32" s="26">
        <f>SQRT(AF32^2+(16*K32/(PI()^2*$B$6^4*9.81)*(1-($B$6/$B$5)^(4))*Y32)^2)</f>
        <v>0</v>
      </c>
      <c r="AJ32" s="2">
        <v>0</v>
      </c>
      <c r="AK32" s="26">
        <f t="shared" si="17"/>
        <v>0</v>
      </c>
      <c r="AL32" s="26">
        <f t="shared" si="18"/>
        <v>0</v>
      </c>
      <c r="AM32" s="31">
        <f t="shared" si="19"/>
        <v>0</v>
      </c>
    </row>
    <row r="33" spans="1:39" x14ac:dyDescent="0.25">
      <c r="A33" s="2" t="s">
        <v>72</v>
      </c>
      <c r="B33" s="1" t="s">
        <v>44</v>
      </c>
      <c r="C33" s="3">
        <v>2700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6">
        <f t="shared" si="1"/>
        <v>0</v>
      </c>
      <c r="K33" s="21">
        <v>5.0000000000000001E-3</v>
      </c>
      <c r="L33" s="24">
        <f t="shared" si="2"/>
        <v>0</v>
      </c>
      <c r="M33" s="24">
        <f t="shared" si="3"/>
        <v>0</v>
      </c>
      <c r="N33" s="24">
        <f t="shared" si="4"/>
        <v>0</v>
      </c>
      <c r="O33" s="15">
        <v>9.1199999999999992</v>
      </c>
      <c r="P33" s="14">
        <f>$B$7/2*2*PI()/60*C33</f>
        <v>15.268140296446393</v>
      </c>
      <c r="Q33" s="14">
        <f>K33/($B$8*(2*PI()*$B$7/2-$B$10*$B$9))</f>
        <v>1.8718683226780133</v>
      </c>
      <c r="R33" s="12">
        <f>O33*9.81/P33^2</f>
        <v>0.3837881505684162</v>
      </c>
      <c r="S33" s="20">
        <f t="shared" si="7"/>
        <v>0.12259962813635425</v>
      </c>
      <c r="T33" s="31">
        <f t="shared" si="8"/>
        <v>0</v>
      </c>
      <c r="U33" s="2">
        <f t="shared" si="9"/>
        <v>4.3026527297494637</v>
      </c>
      <c r="V33" s="31">
        <f t="shared" si="10"/>
        <v>0</v>
      </c>
      <c r="W33" s="31">
        <v>0</v>
      </c>
      <c r="X33" s="26">
        <f t="shared" si="11"/>
        <v>0</v>
      </c>
      <c r="Y33" s="26">
        <f t="shared" si="12"/>
        <v>0</v>
      </c>
      <c r="Z33" s="26">
        <v>0</v>
      </c>
      <c r="AA33" s="26">
        <v>0</v>
      </c>
      <c r="AB33" s="2">
        <v>0.01</v>
      </c>
      <c r="AC33" s="2">
        <v>0.01</v>
      </c>
      <c r="AD33" s="2">
        <f t="shared" si="13"/>
        <v>0.01</v>
      </c>
      <c r="AE33" s="2">
        <f t="shared" si="14"/>
        <v>0.01</v>
      </c>
      <c r="AF33" s="26">
        <f>L33*AD33</f>
        <v>0</v>
      </c>
      <c r="AG33" s="26">
        <f t="shared" si="15"/>
        <v>0</v>
      </c>
      <c r="AH33" s="26">
        <v>0</v>
      </c>
      <c r="AI33" s="26">
        <f>SQRT(AF33^2+(16*K33/(PI()^2*$B$6^4*9.81)*(1-($B$6/$B$5)^(4))*Y33)^2)</f>
        <v>0</v>
      </c>
      <c r="AJ33" s="2">
        <v>0</v>
      </c>
      <c r="AK33" s="26">
        <f t="shared" si="17"/>
        <v>0</v>
      </c>
      <c r="AL33" s="26">
        <f t="shared" si="18"/>
        <v>0</v>
      </c>
      <c r="AM33" s="31">
        <f t="shared" si="19"/>
        <v>0</v>
      </c>
    </row>
    <row r="34" spans="1:39" x14ac:dyDescent="0.25">
      <c r="A34" s="2" t="s">
        <v>72</v>
      </c>
      <c r="B34" s="1" t="s">
        <v>44</v>
      </c>
      <c r="C34" s="3">
        <v>2700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6">
        <f t="shared" si="1"/>
        <v>0</v>
      </c>
      <c r="K34" s="21">
        <v>4.0000000000000001E-3</v>
      </c>
      <c r="L34" s="24">
        <f t="shared" si="2"/>
        <v>0</v>
      </c>
      <c r="M34" s="24">
        <f t="shared" si="3"/>
        <v>0</v>
      </c>
      <c r="N34" s="24">
        <f t="shared" si="4"/>
        <v>0</v>
      </c>
      <c r="O34" s="16">
        <v>11</v>
      </c>
      <c r="P34" s="14">
        <f>$B$7/2*2*PI()/60*C34</f>
        <v>15.268140296446393</v>
      </c>
      <c r="Q34" s="14">
        <f>K34/($B$8*(2*PI()*$B$7/2-$B$10*$B$9))</f>
        <v>1.4974946581424107</v>
      </c>
      <c r="R34" s="12">
        <f>O34*9.81/P34^2</f>
        <v>0.46290237458909855</v>
      </c>
      <c r="S34" s="20">
        <f t="shared" si="7"/>
        <v>9.8079702509083391E-2</v>
      </c>
      <c r="T34" s="31">
        <f t="shared" si="8"/>
        <v>0</v>
      </c>
      <c r="U34" s="2">
        <f t="shared" si="9"/>
        <v>4.3026527297494637</v>
      </c>
      <c r="V34" s="31">
        <f t="shared" si="10"/>
        <v>0</v>
      </c>
      <c r="W34" s="31">
        <v>0</v>
      </c>
      <c r="X34" s="26">
        <f t="shared" si="11"/>
        <v>0</v>
      </c>
      <c r="Y34" s="26">
        <f t="shared" si="12"/>
        <v>0</v>
      </c>
      <c r="Z34" s="26">
        <v>0</v>
      </c>
      <c r="AA34" s="26">
        <v>0</v>
      </c>
      <c r="AB34" s="2">
        <v>0.01</v>
      </c>
      <c r="AC34" s="2">
        <v>0.01</v>
      </c>
      <c r="AD34" s="2">
        <f t="shared" si="13"/>
        <v>0.01</v>
      </c>
      <c r="AE34" s="2">
        <f t="shared" si="14"/>
        <v>0.01</v>
      </c>
      <c r="AF34" s="26">
        <f>L34*AD34</f>
        <v>0</v>
      </c>
      <c r="AG34" s="26">
        <f t="shared" si="15"/>
        <v>0</v>
      </c>
      <c r="AH34" s="26">
        <v>0</v>
      </c>
      <c r="AI34" s="26">
        <f>SQRT(AF34^2+(16*K34/(PI()^2*$B$6^4*9.81)*(1-($B$6/$B$5)^(4))*Y34)^2)</f>
        <v>0</v>
      </c>
      <c r="AJ34" s="2">
        <v>0</v>
      </c>
      <c r="AK34" s="26">
        <f t="shared" si="17"/>
        <v>0</v>
      </c>
      <c r="AL34" s="26">
        <f t="shared" si="18"/>
        <v>0</v>
      </c>
      <c r="AM34" s="31">
        <f t="shared" si="19"/>
        <v>0</v>
      </c>
    </row>
    <row r="35" spans="1:39" x14ac:dyDescent="0.25">
      <c r="A35" s="2" t="s">
        <v>72</v>
      </c>
      <c r="B35" s="1" t="s">
        <v>44</v>
      </c>
      <c r="C35" s="3">
        <v>2700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6">
        <f t="shared" si="1"/>
        <v>0</v>
      </c>
      <c r="K35" s="21">
        <v>3.0000000000000001E-3</v>
      </c>
      <c r="L35" s="24">
        <f t="shared" si="2"/>
        <v>0</v>
      </c>
      <c r="M35" s="24">
        <f t="shared" si="3"/>
        <v>0</v>
      </c>
      <c r="N35" s="24">
        <f t="shared" si="4"/>
        <v>0</v>
      </c>
      <c r="O35" s="16">
        <v>12.1</v>
      </c>
      <c r="P35" s="14">
        <f>$B$7/2*2*PI()/60*C35</f>
        <v>15.268140296446393</v>
      </c>
      <c r="Q35" s="14">
        <f>K35/($B$8*(2*PI()*$B$7/2-$B$10*$B$9))</f>
        <v>1.1231209936068081</v>
      </c>
      <c r="R35" s="12">
        <f>O35*9.81/P35^2</f>
        <v>0.50919261204800836</v>
      </c>
      <c r="S35" s="20">
        <f t="shared" si="7"/>
        <v>7.3559776881812547E-2</v>
      </c>
      <c r="T35" s="31">
        <f t="shared" si="8"/>
        <v>0</v>
      </c>
      <c r="U35" s="2">
        <f t="shared" si="9"/>
        <v>4.3026527297494637</v>
      </c>
      <c r="V35" s="31">
        <f t="shared" si="10"/>
        <v>0</v>
      </c>
      <c r="W35" s="31">
        <v>0</v>
      </c>
      <c r="X35" s="26">
        <f t="shared" si="11"/>
        <v>0</v>
      </c>
      <c r="Y35" s="26">
        <f t="shared" si="12"/>
        <v>0</v>
      </c>
      <c r="Z35" s="26">
        <v>0</v>
      </c>
      <c r="AA35" s="26">
        <v>0</v>
      </c>
      <c r="AB35" s="2">
        <v>0.01</v>
      </c>
      <c r="AC35" s="2">
        <v>0.01</v>
      </c>
      <c r="AD35" s="2">
        <f t="shared" si="13"/>
        <v>0.01</v>
      </c>
      <c r="AE35" s="2">
        <f t="shared" si="14"/>
        <v>0.01</v>
      </c>
      <c r="AF35" s="26">
        <f>L35*AD35</f>
        <v>0</v>
      </c>
      <c r="AG35" s="26">
        <f t="shared" si="15"/>
        <v>0</v>
      </c>
      <c r="AH35" s="26">
        <v>0</v>
      </c>
      <c r="AI35" s="26">
        <f>SQRT(AF35^2+(16*K35/(PI()^2*$B$6^4*9.81)*(1-($B$6/$B$5)^(4))*Y35)^2)</f>
        <v>0</v>
      </c>
      <c r="AJ35" s="2">
        <v>0</v>
      </c>
      <c r="AK35" s="26">
        <f t="shared" si="17"/>
        <v>0</v>
      </c>
      <c r="AL35" s="26">
        <f t="shared" si="18"/>
        <v>0</v>
      </c>
      <c r="AM35" s="31">
        <f t="shared" si="19"/>
        <v>0</v>
      </c>
    </row>
    <row r="36" spans="1:39" x14ac:dyDescent="0.25">
      <c r="A36" s="2" t="s">
        <v>72</v>
      </c>
      <c r="B36" s="1" t="s">
        <v>44</v>
      </c>
      <c r="C36" s="3">
        <v>2700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6">
        <f t="shared" si="1"/>
        <v>0</v>
      </c>
      <c r="K36" s="21">
        <v>2E-3</v>
      </c>
      <c r="L36" s="24">
        <f t="shared" si="2"/>
        <v>0</v>
      </c>
      <c r="M36" s="24">
        <f t="shared" si="3"/>
        <v>0</v>
      </c>
      <c r="N36" s="24">
        <f t="shared" si="4"/>
        <v>0</v>
      </c>
      <c r="O36" s="16">
        <v>12.8</v>
      </c>
      <c r="P36" s="14">
        <f>$B$7/2*2*PI()/60*C36</f>
        <v>15.268140296446393</v>
      </c>
      <c r="Q36" s="13">
        <f>K36/($B$8*(2*PI()*$B$7/2-$B$10*$B$9))</f>
        <v>0.74874732907120534</v>
      </c>
      <c r="R36" s="12">
        <f>O36*9.81/P36^2</f>
        <v>0.53865003588549654</v>
      </c>
      <c r="S36" s="20">
        <f t="shared" si="7"/>
        <v>4.9039851254541696E-2</v>
      </c>
      <c r="T36" s="31">
        <f t="shared" si="8"/>
        <v>0</v>
      </c>
      <c r="U36" s="2">
        <f t="shared" si="9"/>
        <v>4.3026527297494637</v>
      </c>
      <c r="V36" s="31">
        <f t="shared" si="10"/>
        <v>0</v>
      </c>
      <c r="W36" s="31">
        <v>0</v>
      </c>
      <c r="X36" s="26">
        <f t="shared" si="11"/>
        <v>0</v>
      </c>
      <c r="Y36" s="26">
        <f t="shared" si="12"/>
        <v>0</v>
      </c>
      <c r="Z36" s="26">
        <v>0</v>
      </c>
      <c r="AA36" s="26">
        <v>0</v>
      </c>
      <c r="AB36" s="2">
        <v>0.01</v>
      </c>
      <c r="AC36" s="2">
        <v>0.01</v>
      </c>
      <c r="AD36" s="2">
        <f t="shared" si="13"/>
        <v>0.01</v>
      </c>
      <c r="AE36" s="2">
        <f t="shared" si="14"/>
        <v>0.01</v>
      </c>
      <c r="AF36" s="26">
        <f>L36*AD36</f>
        <v>0</v>
      </c>
      <c r="AG36" s="26">
        <f t="shared" si="15"/>
        <v>0</v>
      </c>
      <c r="AH36" s="26">
        <v>0</v>
      </c>
      <c r="AI36" s="26">
        <f>SQRT(AF36^2+(16*K36/(PI()^2*$B$6^4*9.81)*(1-($B$6/$B$5)^(4))*Y36)^2)</f>
        <v>0</v>
      </c>
      <c r="AJ36" s="2">
        <v>0</v>
      </c>
      <c r="AK36" s="26">
        <f t="shared" si="17"/>
        <v>0</v>
      </c>
      <c r="AL36" s="26">
        <f t="shared" si="18"/>
        <v>0</v>
      </c>
      <c r="AM36" s="31">
        <f t="shared" si="19"/>
        <v>0</v>
      </c>
    </row>
    <row r="37" spans="1:39" x14ac:dyDescent="0.25">
      <c r="A37" s="2" t="s">
        <v>72</v>
      </c>
      <c r="B37" s="1" t="s">
        <v>44</v>
      </c>
      <c r="C37" s="3">
        <v>3600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6">
        <f t="shared" si="1"/>
        <v>0</v>
      </c>
      <c r="K37" s="21">
        <v>8.0000000000000002E-3</v>
      </c>
      <c r="L37" s="24">
        <f t="shared" si="2"/>
        <v>0</v>
      </c>
      <c r="M37" s="24">
        <f t="shared" si="3"/>
        <v>0</v>
      </c>
      <c r="N37" s="24">
        <f t="shared" si="4"/>
        <v>0</v>
      </c>
      <c r="O37" s="16">
        <v>10.3</v>
      </c>
      <c r="P37" s="14">
        <f>$B$7/2*2*PI()/60*C37</f>
        <v>20.357520395261858</v>
      </c>
      <c r="Q37" s="14">
        <f>K37/($B$8*(2*PI()*$B$7/2-$B$10*$B$9))</f>
        <v>2.9949893162848213</v>
      </c>
      <c r="R37" s="12">
        <f>O37*9.81/P37^2</f>
        <v>0.2438127847977809</v>
      </c>
      <c r="S37" s="20">
        <f t="shared" si="7"/>
        <v>0.14711955376362509</v>
      </c>
      <c r="T37" s="31">
        <f t="shared" si="8"/>
        <v>0</v>
      </c>
      <c r="U37" s="2">
        <f t="shared" si="9"/>
        <v>4.3026527297494637</v>
      </c>
      <c r="V37" s="31">
        <f t="shared" si="10"/>
        <v>0</v>
      </c>
      <c r="W37" s="31">
        <v>0</v>
      </c>
      <c r="X37" s="26">
        <f t="shared" si="11"/>
        <v>0</v>
      </c>
      <c r="Y37" s="26">
        <f t="shared" si="12"/>
        <v>0</v>
      </c>
      <c r="Z37" s="26">
        <v>0</v>
      </c>
      <c r="AA37" s="26">
        <v>0</v>
      </c>
      <c r="AB37" s="2">
        <v>0.01</v>
      </c>
      <c r="AC37" s="2">
        <v>0.01</v>
      </c>
      <c r="AD37" s="2">
        <f t="shared" si="13"/>
        <v>0.01</v>
      </c>
      <c r="AE37" s="2">
        <f t="shared" si="14"/>
        <v>0.01</v>
      </c>
      <c r="AF37" s="26">
        <f>L37*AD37</f>
        <v>0</v>
      </c>
      <c r="AG37" s="26">
        <f t="shared" si="15"/>
        <v>0</v>
      </c>
      <c r="AH37" s="26">
        <v>0</v>
      </c>
      <c r="AI37" s="26">
        <f>SQRT(AF37^2+(16*K37/(PI()^2*$B$6^4*9.81)*(1-($B$6/$B$5)^(4))*Y37)^2)</f>
        <v>0</v>
      </c>
      <c r="AJ37" s="2">
        <v>0</v>
      </c>
      <c r="AK37" s="26">
        <f t="shared" si="17"/>
        <v>0</v>
      </c>
      <c r="AL37" s="26">
        <f t="shared" si="18"/>
        <v>0</v>
      </c>
      <c r="AM37" s="31">
        <f t="shared" si="19"/>
        <v>0</v>
      </c>
    </row>
    <row r="38" spans="1:39" x14ac:dyDescent="0.25">
      <c r="A38" s="2" t="s">
        <v>72</v>
      </c>
      <c r="B38" s="1" t="s">
        <v>44</v>
      </c>
      <c r="C38" s="3">
        <v>3600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6">
        <f t="shared" si="1"/>
        <v>0</v>
      </c>
      <c r="K38" s="21">
        <v>6.7000000000000002E-3</v>
      </c>
      <c r="L38" s="24">
        <f t="shared" si="2"/>
        <v>0</v>
      </c>
      <c r="M38" s="24">
        <f t="shared" si="3"/>
        <v>0</v>
      </c>
      <c r="N38" s="24">
        <f t="shared" si="4"/>
        <v>0</v>
      </c>
      <c r="O38" s="16">
        <v>16.100000000000001</v>
      </c>
      <c r="P38" s="14">
        <f>$B$7/2*2*PI()/60*C38</f>
        <v>20.357520395261858</v>
      </c>
      <c r="Q38" s="14">
        <f>K38/($B$8*(2*PI()*$B$7/2-$B$10*$B$9))</f>
        <v>2.5083035523885377</v>
      </c>
      <c r="R38" s="12">
        <f>O38*9.81/P38^2</f>
        <v>0.38110542089750221</v>
      </c>
      <c r="S38" s="20">
        <f t="shared" si="7"/>
        <v>0.12321262627703601</v>
      </c>
      <c r="T38" s="31">
        <f t="shared" si="8"/>
        <v>0</v>
      </c>
      <c r="U38" s="2">
        <f t="shared" si="9"/>
        <v>4.3026527297494637</v>
      </c>
      <c r="V38" s="31">
        <f t="shared" si="10"/>
        <v>0</v>
      </c>
      <c r="W38" s="31">
        <v>0</v>
      </c>
      <c r="X38" s="26">
        <f t="shared" si="11"/>
        <v>0</v>
      </c>
      <c r="Y38" s="26">
        <f t="shared" si="12"/>
        <v>0</v>
      </c>
      <c r="Z38" s="26">
        <v>0</v>
      </c>
      <c r="AA38" s="26">
        <v>0</v>
      </c>
      <c r="AB38" s="2">
        <v>0.01</v>
      </c>
      <c r="AC38" s="2">
        <v>0.01</v>
      </c>
      <c r="AD38" s="2">
        <f t="shared" si="13"/>
        <v>0.01</v>
      </c>
      <c r="AE38" s="2">
        <f t="shared" si="14"/>
        <v>0.01</v>
      </c>
      <c r="AF38" s="26">
        <f>L38*AD38</f>
        <v>0</v>
      </c>
      <c r="AG38" s="26">
        <f t="shared" si="15"/>
        <v>0</v>
      </c>
      <c r="AH38" s="26">
        <v>0</v>
      </c>
      <c r="AI38" s="26">
        <f>SQRT(AF38^2+(16*K38/(PI()^2*$B$6^4*9.81)*(1-($B$6/$B$5)^(4))*Y38)^2)</f>
        <v>0</v>
      </c>
      <c r="AJ38" s="2">
        <v>0</v>
      </c>
      <c r="AK38" s="26">
        <f t="shared" si="17"/>
        <v>0</v>
      </c>
      <c r="AL38" s="26">
        <f t="shared" si="18"/>
        <v>0</v>
      </c>
      <c r="AM38" s="31">
        <f t="shared" si="19"/>
        <v>0</v>
      </c>
    </row>
    <row r="39" spans="1:39" x14ac:dyDescent="0.25">
      <c r="A39" s="2" t="s">
        <v>72</v>
      </c>
      <c r="B39" s="1" t="s">
        <v>44</v>
      </c>
      <c r="C39" s="3">
        <v>3600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6">
        <f>AVERAGE(G39:I39)</f>
        <v>0</v>
      </c>
      <c r="K39" s="21">
        <v>5.4000000000000003E-3</v>
      </c>
      <c r="L39" s="24">
        <f t="shared" si="2"/>
        <v>0</v>
      </c>
      <c r="M39" s="24">
        <f t="shared" si="3"/>
        <v>0</v>
      </c>
      <c r="N39" s="24">
        <f t="shared" si="4"/>
        <v>0</v>
      </c>
      <c r="O39" s="16">
        <v>19.2</v>
      </c>
      <c r="P39" s="14">
        <f>$B$7/2*2*PI()/60*C39</f>
        <v>20.357520395261858</v>
      </c>
      <c r="Q39" s="14">
        <f>K39/($B$8*(2*PI()*$B$7/2-$B$10*$B$9))</f>
        <v>2.0216177884922546</v>
      </c>
      <c r="R39" s="12">
        <f>O39*9.81/P39^2</f>
        <v>0.45448596777838768</v>
      </c>
      <c r="S39" s="20">
        <f t="shared" si="7"/>
        <v>9.9305698790446956E-2</v>
      </c>
      <c r="T39" s="31">
        <f t="shared" si="8"/>
        <v>0</v>
      </c>
      <c r="U39" s="2">
        <f t="shared" si="9"/>
        <v>4.3026527297494637</v>
      </c>
      <c r="V39" s="31">
        <f t="shared" si="10"/>
        <v>0</v>
      </c>
      <c r="W39" s="31">
        <v>0</v>
      </c>
      <c r="X39" s="26">
        <f t="shared" si="11"/>
        <v>0</v>
      </c>
      <c r="Y39" s="26">
        <f t="shared" si="12"/>
        <v>0</v>
      </c>
      <c r="Z39" s="26">
        <v>0</v>
      </c>
      <c r="AA39" s="26">
        <v>0</v>
      </c>
      <c r="AB39" s="2">
        <v>0.01</v>
      </c>
      <c r="AC39" s="2">
        <v>0.01</v>
      </c>
      <c r="AD39" s="2">
        <f t="shared" si="13"/>
        <v>0.01</v>
      </c>
      <c r="AE39" s="2">
        <f t="shared" si="14"/>
        <v>0.01</v>
      </c>
      <c r="AF39" s="26">
        <f>L39*AD39</f>
        <v>0</v>
      </c>
      <c r="AG39" s="26">
        <f t="shared" si="15"/>
        <v>0</v>
      </c>
      <c r="AH39" s="26">
        <v>0</v>
      </c>
      <c r="AI39" s="26">
        <f>SQRT(AF39^2+(16*K39/(PI()^2*$B$6^4*9.81)*(1-($B$6/$B$5)^(4))*Y39)^2)</f>
        <v>0</v>
      </c>
      <c r="AJ39" s="2">
        <v>0</v>
      </c>
      <c r="AK39" s="26">
        <f t="shared" si="17"/>
        <v>0</v>
      </c>
      <c r="AL39" s="26">
        <f t="shared" si="18"/>
        <v>0</v>
      </c>
      <c r="AM39" s="31">
        <f t="shared" si="19"/>
        <v>0</v>
      </c>
    </row>
    <row r="40" spans="1:39" x14ac:dyDescent="0.25">
      <c r="A40" s="2" t="s">
        <v>72</v>
      </c>
      <c r="B40" s="1" t="s">
        <v>44</v>
      </c>
      <c r="C40" s="3">
        <v>3600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6">
        <f t="shared" si="1"/>
        <v>0</v>
      </c>
      <c r="K40" s="21">
        <v>4.0000000000000001E-3</v>
      </c>
      <c r="L40" s="24">
        <f t="shared" si="2"/>
        <v>0</v>
      </c>
      <c r="M40" s="24">
        <f t="shared" si="3"/>
        <v>0</v>
      </c>
      <c r="N40" s="24">
        <f t="shared" si="4"/>
        <v>0</v>
      </c>
      <c r="O40" s="16">
        <v>21.6</v>
      </c>
      <c r="P40" s="14">
        <f>$B$7/2*2*PI()/60*C40</f>
        <v>20.357520395261858</v>
      </c>
      <c r="Q40" s="14">
        <f>K40/($B$8*(2*PI()*$B$7/2-$B$10*$B$9))</f>
        <v>1.4974946581424107</v>
      </c>
      <c r="R40" s="12">
        <f>O40*9.81/P40^2</f>
        <v>0.51129671375068619</v>
      </c>
      <c r="S40" s="20">
        <f t="shared" si="7"/>
        <v>7.3559776881812547E-2</v>
      </c>
      <c r="T40" s="31">
        <f t="shared" si="8"/>
        <v>0</v>
      </c>
      <c r="U40" s="2">
        <f t="shared" si="9"/>
        <v>4.3026527297494637</v>
      </c>
      <c r="V40" s="31">
        <f t="shared" si="10"/>
        <v>0</v>
      </c>
      <c r="W40" s="31">
        <v>0</v>
      </c>
      <c r="X40" s="26">
        <f t="shared" si="11"/>
        <v>0</v>
      </c>
      <c r="Y40" s="26">
        <f t="shared" si="12"/>
        <v>0</v>
      </c>
      <c r="Z40" s="26">
        <v>0</v>
      </c>
      <c r="AA40" s="26">
        <v>0</v>
      </c>
      <c r="AB40" s="2">
        <v>0.01</v>
      </c>
      <c r="AC40" s="2">
        <v>0.01</v>
      </c>
      <c r="AD40" s="2">
        <f t="shared" si="13"/>
        <v>0.01</v>
      </c>
      <c r="AE40" s="2">
        <f t="shared" si="14"/>
        <v>0.01</v>
      </c>
      <c r="AF40" s="26">
        <f>L40*AD40</f>
        <v>0</v>
      </c>
      <c r="AG40" s="26">
        <f t="shared" si="15"/>
        <v>0</v>
      </c>
      <c r="AH40" s="26">
        <v>0</v>
      </c>
      <c r="AI40" s="26">
        <f>SQRT(AF40^2+(16*K40/(PI()^2*$B$6^4*9.81)*(1-($B$6/$B$5)^(4))*Y40)^2)</f>
        <v>0</v>
      </c>
      <c r="AJ40" s="2">
        <v>0</v>
      </c>
      <c r="AK40" s="26">
        <f t="shared" si="17"/>
        <v>0</v>
      </c>
      <c r="AL40" s="26">
        <f t="shared" si="18"/>
        <v>0</v>
      </c>
      <c r="AM40" s="31">
        <f t="shared" si="19"/>
        <v>0</v>
      </c>
    </row>
    <row r="41" spans="1:39" x14ac:dyDescent="0.25">
      <c r="A41" s="2" t="s">
        <v>72</v>
      </c>
      <c r="B41" s="1" t="s">
        <v>44</v>
      </c>
      <c r="C41" s="3">
        <v>3600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6">
        <f t="shared" si="1"/>
        <v>0</v>
      </c>
      <c r="K41" s="21">
        <v>2.7000000000000001E-3</v>
      </c>
      <c r="L41" s="24">
        <f t="shared" si="2"/>
        <v>0</v>
      </c>
      <c r="M41" s="24">
        <f t="shared" si="3"/>
        <v>0</v>
      </c>
      <c r="N41" s="24">
        <f t="shared" si="4"/>
        <v>0</v>
      </c>
      <c r="O41" s="16">
        <v>22.8</v>
      </c>
      <c r="P41" s="14">
        <f>$B$7/2*2*PI()/60*C41</f>
        <v>20.357520395261858</v>
      </c>
      <c r="Q41" s="14">
        <f>K41/($B$8*(2*PI()*$B$7/2-$B$10*$B$9))</f>
        <v>1.0108088942461273</v>
      </c>
      <c r="R41" s="12">
        <f>O41*9.81/P41^2</f>
        <v>0.5397020867368354</v>
      </c>
      <c r="S41" s="20">
        <f t="shared" si="7"/>
        <v>4.9652849395223478E-2</v>
      </c>
      <c r="T41" s="31">
        <f t="shared" si="8"/>
        <v>0</v>
      </c>
      <c r="U41" s="2">
        <f t="shared" si="9"/>
        <v>4.3026527297494637</v>
      </c>
      <c r="V41" s="31">
        <f t="shared" si="10"/>
        <v>0</v>
      </c>
      <c r="W41" s="31">
        <v>0</v>
      </c>
      <c r="X41" s="26">
        <f t="shared" si="11"/>
        <v>0</v>
      </c>
      <c r="Y41" s="26">
        <f t="shared" si="12"/>
        <v>0</v>
      </c>
      <c r="Z41" s="26">
        <v>0</v>
      </c>
      <c r="AA41" s="26">
        <v>0</v>
      </c>
      <c r="AB41" s="2">
        <v>0.01</v>
      </c>
      <c r="AC41" s="2">
        <v>0.01</v>
      </c>
      <c r="AD41" s="2">
        <f t="shared" si="13"/>
        <v>0.01</v>
      </c>
      <c r="AE41" s="2">
        <f t="shared" si="14"/>
        <v>0.01</v>
      </c>
      <c r="AF41" s="26">
        <f>L41*AD41</f>
        <v>0</v>
      </c>
      <c r="AG41" s="26">
        <f t="shared" si="15"/>
        <v>0</v>
      </c>
      <c r="AH41" s="26">
        <v>0</v>
      </c>
      <c r="AI41" s="26">
        <f>SQRT(AF41^2+(16*K41/(PI()^2*$B$6^4*9.81)*(1-($B$6/$B$5)^(4))*Y41)^2)</f>
        <v>0</v>
      </c>
      <c r="AJ41" s="2">
        <v>0</v>
      </c>
      <c r="AK41" s="26">
        <f t="shared" si="17"/>
        <v>0</v>
      </c>
      <c r="AL41" s="26">
        <f t="shared" si="18"/>
        <v>0</v>
      </c>
      <c r="AM41" s="31">
        <f t="shared" si="19"/>
        <v>0</v>
      </c>
    </row>
    <row r="42" spans="1:39" x14ac:dyDescent="0.25">
      <c r="A42" s="2" t="s">
        <v>73</v>
      </c>
      <c r="B42" s="1" t="s">
        <v>11</v>
      </c>
      <c r="C42" s="2">
        <v>2700</v>
      </c>
      <c r="D42" s="2">
        <v>2.87</v>
      </c>
      <c r="E42" s="2">
        <v>2.72</v>
      </c>
      <c r="F42" s="24">
        <v>0</v>
      </c>
      <c r="G42" s="2">
        <v>12.46</v>
      </c>
      <c r="H42" s="2">
        <v>12.28</v>
      </c>
      <c r="I42" s="2">
        <v>12.79</v>
      </c>
      <c r="J42" s="26">
        <f t="shared" si="1"/>
        <v>12.51</v>
      </c>
      <c r="K42" s="17">
        <f>$D$3/$B$2/J42</f>
        <v>7.2662110792328068E-3</v>
      </c>
      <c r="L42" s="15">
        <f t="shared" si="2"/>
        <v>10.105818773122188</v>
      </c>
      <c r="M42" s="15">
        <f t="shared" si="3"/>
        <v>9.5776400916001219</v>
      </c>
      <c r="N42" s="15">
        <f t="shared" si="4"/>
        <v>9.8417294323611557</v>
      </c>
      <c r="O42" s="16">
        <f t="shared" ref="O42:O49" si="21">N42+8*K42^2/(PI()^2*$B$6^4*9.81)*(1-($B$6/$B$5)^4)</f>
        <v>11.256986832203168</v>
      </c>
      <c r="P42" s="14">
        <f t="shared" ref="P42:P44" si="22">$B$7/2*2*PI()/60*C42</f>
        <v>15.268140296446393</v>
      </c>
      <c r="Q42" s="14">
        <f t="shared" ref="Q42:Q45" si="23">K42/($B$8*(2*PI()*$B$7/2-$B$10*$B$9))</f>
        <v>2.7202780690215822</v>
      </c>
      <c r="R42" s="12">
        <f t="shared" ref="R42:R45" si="24">O42*9.81/P42^2</f>
        <v>0.47371690321318732</v>
      </c>
      <c r="S42" s="20">
        <f t="shared" ref="S42:S45" si="25">Q42/P42</f>
        <v>0.17816695525483989</v>
      </c>
      <c r="T42" s="31">
        <f t="shared" si="8"/>
        <v>0.25865034312755097</v>
      </c>
      <c r="U42" s="2">
        <f t="shared" si="9"/>
        <v>4.3026527297494637</v>
      </c>
      <c r="V42" s="31">
        <f>T42*U42/SQRT(COUNT(G42:I42))</f>
        <v>0.64252307152031252</v>
      </c>
      <c r="W42" s="2">
        <v>0.2</v>
      </c>
      <c r="X42" s="26">
        <f>SQRT(V42^2+W42^2)</f>
        <v>0.67293082663517256</v>
      </c>
      <c r="Y42" s="33">
        <f t="shared" si="12"/>
        <v>3.9085990631924716E-4</v>
      </c>
      <c r="Z42" s="26">
        <v>0</v>
      </c>
      <c r="AA42" s="26">
        <v>0</v>
      </c>
      <c r="AB42" s="2">
        <v>0.01</v>
      </c>
      <c r="AC42" s="2">
        <v>0.01</v>
      </c>
      <c r="AD42" s="2">
        <f t="shared" si="13"/>
        <v>0.01</v>
      </c>
      <c r="AE42" s="2">
        <f t="shared" si="14"/>
        <v>0.01</v>
      </c>
      <c r="AF42" s="26">
        <f t="shared" ref="AF42:AG49" si="26">L42*AD42/D42</f>
        <v>3.5211912101471038E-2</v>
      </c>
      <c r="AG42" s="26">
        <f t="shared" si="26"/>
        <v>3.5211912101471031E-2</v>
      </c>
      <c r="AH42" s="26">
        <f>SQRT((AF42/2)^2+(AG42/2)^2)</f>
        <v>2.4898581825494825E-2</v>
      </c>
      <c r="AI42" s="25">
        <f>SQRT(AH42^2+(16*K42/(PI()^2*$B$6^4*9.81)*(1-($B$6/$B$5)^(4))*Y42)^2)</f>
        <v>0.15427984182058216</v>
      </c>
      <c r="AJ42" s="2">
        <v>0</v>
      </c>
      <c r="AK42" s="13">
        <f t="shared" si="17"/>
        <v>0.14632765544877893</v>
      </c>
      <c r="AL42" s="12">
        <f t="shared" si="18"/>
        <v>6.4924095572707263E-3</v>
      </c>
      <c r="AM42" s="31">
        <f t="shared" si="19"/>
        <v>9.5838558336299937E-3</v>
      </c>
    </row>
    <row r="43" spans="1:39" x14ac:dyDescent="0.25">
      <c r="A43" s="2" t="s">
        <v>73</v>
      </c>
      <c r="B43" s="1" t="s">
        <v>12</v>
      </c>
      <c r="C43" s="2">
        <v>2700</v>
      </c>
      <c r="D43" s="2">
        <v>3.08</v>
      </c>
      <c r="E43" s="2">
        <v>2.96</v>
      </c>
      <c r="F43" s="24">
        <v>0</v>
      </c>
      <c r="G43" s="2">
        <v>14.49</v>
      </c>
      <c r="H43" s="2">
        <v>14.49</v>
      </c>
      <c r="I43" s="2">
        <v>14.42</v>
      </c>
      <c r="J43" s="26">
        <f t="shared" si="1"/>
        <v>14.466666666666667</v>
      </c>
      <c r="K43" s="17">
        <f>$D$3/$B$2/J43</f>
        <v>6.2834309171338068E-3</v>
      </c>
      <c r="L43" s="15">
        <f t="shared" si="2"/>
        <v>10.845268927253079</v>
      </c>
      <c r="M43" s="15">
        <f t="shared" si="3"/>
        <v>10.422725982035425</v>
      </c>
      <c r="N43" s="15">
        <f t="shared" si="4"/>
        <v>10.633997454644252</v>
      </c>
      <c r="O43" s="16">
        <f t="shared" si="21"/>
        <v>11.692307952536082</v>
      </c>
      <c r="P43" s="14">
        <f t="shared" si="22"/>
        <v>15.268140296446393</v>
      </c>
      <c r="Q43" s="14">
        <f t="shared" si="23"/>
        <v>2.352351058303686</v>
      </c>
      <c r="R43" s="12">
        <f t="shared" si="24"/>
        <v>0.49203610142326842</v>
      </c>
      <c r="S43" s="20">
        <f t="shared" si="25"/>
        <v>0.1540692587722152</v>
      </c>
      <c r="T43" s="31">
        <f t="shared" si="8"/>
        <v>4.0414518843273968E-2</v>
      </c>
      <c r="U43" s="2">
        <f t="shared" si="9"/>
        <v>4.3026527297494637</v>
      </c>
      <c r="V43" s="31">
        <f t="shared" si="10"/>
        <v>0.10039523036082122</v>
      </c>
      <c r="W43" s="2">
        <v>0.2</v>
      </c>
      <c r="X43" s="26">
        <f t="shared" si="11"/>
        <v>0.22378382935145777</v>
      </c>
      <c r="Y43" s="33">
        <f t="shared" si="12"/>
        <v>9.7197942311166743E-5</v>
      </c>
      <c r="Z43" s="26">
        <v>0</v>
      </c>
      <c r="AA43" s="26">
        <v>0</v>
      </c>
      <c r="AB43" s="2">
        <v>0.01</v>
      </c>
      <c r="AC43" s="2">
        <v>0.01</v>
      </c>
      <c r="AD43" s="2">
        <f t="shared" si="13"/>
        <v>0.01</v>
      </c>
      <c r="AE43" s="2">
        <f t="shared" si="14"/>
        <v>0.01</v>
      </c>
      <c r="AF43" s="26">
        <f t="shared" ref="AF43:AF50" si="27">L43*AD43/D43</f>
        <v>3.5211912101471038E-2</v>
      </c>
      <c r="AG43" s="26">
        <f t="shared" ref="AG43:AG50" si="28">M43*AE43/E43</f>
        <v>3.5211912101471031E-2</v>
      </c>
      <c r="AH43" s="26">
        <f t="shared" ref="AH43:AH45" si="29">SQRT((AF43/2)^2+(AG43/2)^2)</f>
        <v>2.4898581825494825E-2</v>
      </c>
      <c r="AI43" s="26">
        <f t="shared" ref="AI43:AI49" si="30">SQRT(AH43^2+(16*K43/(PI()^2*$B$6^4*9.81)*(1-($B$6/$B$5)^(4))*Y43)^2)</f>
        <v>4.1133546763215144E-2</v>
      </c>
      <c r="AJ43" s="2">
        <v>0</v>
      </c>
      <c r="AK43" s="12">
        <f t="shared" si="17"/>
        <v>3.6388349848351598E-2</v>
      </c>
      <c r="AL43" s="12">
        <f t="shared" si="18"/>
        <v>1.7309833156330925E-3</v>
      </c>
      <c r="AM43" s="31">
        <f t="shared" si="19"/>
        <v>2.3832863165935709E-3</v>
      </c>
    </row>
    <row r="44" spans="1:39" x14ac:dyDescent="0.25">
      <c r="A44" s="2" t="s">
        <v>73</v>
      </c>
      <c r="B44" s="1" t="s">
        <v>13</v>
      </c>
      <c r="C44" s="2">
        <v>2700</v>
      </c>
      <c r="D44" s="2">
        <v>3.52</v>
      </c>
      <c r="E44" s="2">
        <v>3.53</v>
      </c>
      <c r="F44" s="24">
        <v>0</v>
      </c>
      <c r="G44" s="2">
        <v>41.05</v>
      </c>
      <c r="H44" s="2">
        <v>40.99</v>
      </c>
      <c r="I44" s="2">
        <v>40.99</v>
      </c>
      <c r="J44" s="26">
        <f t="shared" si="1"/>
        <v>41.01</v>
      </c>
      <c r="K44" s="17">
        <f t="shared" ref="K44:K49" si="31">$D$3/$B$2/J44</f>
        <v>2.2165398829846967E-3</v>
      </c>
      <c r="L44" s="15">
        <f t="shared" si="2"/>
        <v>12.394593059717804</v>
      </c>
      <c r="M44" s="15">
        <f t="shared" si="3"/>
        <v>12.429804971819275</v>
      </c>
      <c r="N44" s="15">
        <f t="shared" si="4"/>
        <v>12.41219901576854</v>
      </c>
      <c r="O44" s="16">
        <f t="shared" si="21"/>
        <v>12.543894388300366</v>
      </c>
      <c r="P44" s="14">
        <f t="shared" si="22"/>
        <v>15.268140296446393</v>
      </c>
      <c r="Q44" s="13">
        <f t="shared" si="23"/>
        <v>0.82981415858229679</v>
      </c>
      <c r="R44" s="12">
        <f t="shared" si="24"/>
        <v>0.52787259081264604</v>
      </c>
      <c r="S44" s="20">
        <f>Q44/P44</f>
        <v>5.4349393080664395E-2</v>
      </c>
      <c r="T44" s="31">
        <f t="shared" si="8"/>
        <v>3.4641016151374757E-2</v>
      </c>
      <c r="U44" s="2">
        <f t="shared" si="9"/>
        <v>4.3026527297494637</v>
      </c>
      <c r="V44" s="31">
        <f t="shared" si="10"/>
        <v>8.6053054594982345E-2</v>
      </c>
      <c r="W44" s="2">
        <v>0.2</v>
      </c>
      <c r="X44" s="26">
        <f t="shared" si="11"/>
        <v>0.21772718756537277</v>
      </c>
      <c r="Y44" s="33">
        <f t="shared" si="12"/>
        <v>1.1767885755882431E-5</v>
      </c>
      <c r="Z44" s="26">
        <v>0</v>
      </c>
      <c r="AA44" s="26">
        <v>0</v>
      </c>
      <c r="AB44" s="2">
        <v>0.01</v>
      </c>
      <c r="AC44" s="2">
        <v>0.01</v>
      </c>
      <c r="AD44" s="2">
        <f t="shared" si="13"/>
        <v>0.01</v>
      </c>
      <c r="AE44" s="2">
        <f t="shared" si="14"/>
        <v>0.01</v>
      </c>
      <c r="AF44" s="26">
        <f t="shared" si="27"/>
        <v>3.5211912101471038E-2</v>
      </c>
      <c r="AG44" s="26">
        <f t="shared" si="28"/>
        <v>3.5211912101471038E-2</v>
      </c>
      <c r="AH44" s="26">
        <f t="shared" si="29"/>
        <v>2.4898581825494828E-2</v>
      </c>
      <c r="AI44" s="26">
        <f t="shared" si="30"/>
        <v>2.4937819217776595E-2</v>
      </c>
      <c r="AJ44" s="2">
        <v>0</v>
      </c>
      <c r="AK44" s="11">
        <f t="shared" si="17"/>
        <v>4.405586514266026E-3</v>
      </c>
      <c r="AL44" s="12">
        <f t="shared" si="18"/>
        <v>1.0494341575438583E-3</v>
      </c>
      <c r="AM44" s="32">
        <f t="shared" si="19"/>
        <v>2.885476835244572E-4</v>
      </c>
    </row>
    <row r="45" spans="1:39" x14ac:dyDescent="0.25">
      <c r="A45" s="2" t="s">
        <v>73</v>
      </c>
      <c r="B45" s="1" t="s">
        <v>14</v>
      </c>
      <c r="C45" s="2">
        <v>2700</v>
      </c>
      <c r="D45" s="2">
        <v>3.55</v>
      </c>
      <c r="E45" s="2">
        <v>3.55</v>
      </c>
      <c r="F45" s="24">
        <v>0</v>
      </c>
      <c r="G45" s="24">
        <v>0</v>
      </c>
      <c r="H45" s="24">
        <v>0</v>
      </c>
      <c r="I45" s="24">
        <v>0</v>
      </c>
      <c r="J45" s="26">
        <f t="shared" si="1"/>
        <v>0</v>
      </c>
      <c r="K45" s="24">
        <v>0</v>
      </c>
      <c r="L45" s="15">
        <f>5*D45/($B$2*9.81)*6894.76</f>
        <v>12.500228796022217</v>
      </c>
      <c r="M45" s="15">
        <f>5*E45/($B$2*9.81)*6894.76</f>
        <v>12.500228796022217</v>
      </c>
      <c r="N45" s="15">
        <f t="shared" si="4"/>
        <v>12.500228796022217</v>
      </c>
      <c r="O45" s="16">
        <f t="shared" si="21"/>
        <v>12.500228796022217</v>
      </c>
      <c r="P45" s="14">
        <f>$B$7/2*2*PI()/60*C45</f>
        <v>15.268140296446393</v>
      </c>
      <c r="Q45" s="13">
        <f t="shared" si="23"/>
        <v>0</v>
      </c>
      <c r="R45" s="12">
        <f t="shared" si="24"/>
        <v>0.52603505387142835</v>
      </c>
      <c r="S45" s="20">
        <f t="shared" si="25"/>
        <v>0</v>
      </c>
      <c r="T45" s="31">
        <f t="shared" si="8"/>
        <v>0</v>
      </c>
      <c r="U45" s="2">
        <f t="shared" si="9"/>
        <v>4.3026527297494637</v>
      </c>
      <c r="V45" s="31">
        <f t="shared" si="10"/>
        <v>0</v>
      </c>
      <c r="W45" s="31">
        <v>0</v>
      </c>
      <c r="X45" s="26">
        <f t="shared" si="11"/>
        <v>0</v>
      </c>
      <c r="Y45" s="26">
        <f t="shared" si="12"/>
        <v>0</v>
      </c>
      <c r="Z45" s="26">
        <v>0</v>
      </c>
      <c r="AA45" s="26">
        <v>0</v>
      </c>
      <c r="AB45" s="2">
        <v>0.01</v>
      </c>
      <c r="AC45" s="2">
        <v>0.01</v>
      </c>
      <c r="AD45" s="2">
        <f t="shared" si="13"/>
        <v>0.01</v>
      </c>
      <c r="AE45" s="2">
        <f t="shared" si="14"/>
        <v>0.01</v>
      </c>
      <c r="AF45" s="26">
        <f t="shared" si="27"/>
        <v>3.5211912101471038E-2</v>
      </c>
      <c r="AG45" s="26">
        <f t="shared" si="28"/>
        <v>3.5211912101471038E-2</v>
      </c>
      <c r="AH45" s="26">
        <f t="shared" si="29"/>
        <v>2.4898581825494828E-2</v>
      </c>
      <c r="AI45" s="26">
        <f t="shared" si="30"/>
        <v>2.4898581825494828E-2</v>
      </c>
      <c r="AJ45" s="2">
        <v>0</v>
      </c>
      <c r="AK45" s="26">
        <f t="shared" si="17"/>
        <v>0</v>
      </c>
      <c r="AL45" s="12">
        <f t="shared" si="18"/>
        <v>1.0477829682656841E-3</v>
      </c>
      <c r="AM45" s="31">
        <f t="shared" si="19"/>
        <v>0</v>
      </c>
    </row>
    <row r="46" spans="1:39" x14ac:dyDescent="0.25">
      <c r="A46" s="2" t="s">
        <v>87</v>
      </c>
      <c r="B46" s="1" t="s">
        <v>11</v>
      </c>
      <c r="C46" s="2">
        <v>2700</v>
      </c>
      <c r="D46" s="2">
        <v>0.68</v>
      </c>
      <c r="E46" s="2">
        <v>1.68</v>
      </c>
      <c r="F46" s="24">
        <v>0</v>
      </c>
      <c r="G46" s="2">
        <v>16.64</v>
      </c>
      <c r="H46" s="2">
        <v>16.170000000000002</v>
      </c>
      <c r="I46" s="2">
        <v>16.03</v>
      </c>
      <c r="J46" s="26">
        <f t="shared" si="1"/>
        <v>16.28</v>
      </c>
      <c r="K46" s="17">
        <f t="shared" si="31"/>
        <v>5.5835565479854053E-3</v>
      </c>
      <c r="L46" s="15">
        <f t="shared" ref="L46:L49" si="32">5*D46/($B$2*9.81)*6894.76</f>
        <v>2.3944100229000305</v>
      </c>
      <c r="M46" s="15">
        <f t="shared" ref="M46:M49" si="33">5*E46/($B$2*9.81)*6894.76</f>
        <v>5.9156012330471341</v>
      </c>
      <c r="N46" s="13">
        <f>L46+M46</f>
        <v>8.3100112559471651</v>
      </c>
      <c r="O46" s="16">
        <f t="shared" si="21"/>
        <v>9.1456936498984369</v>
      </c>
      <c r="P46" s="14">
        <f t="shared" ref="P46:P49" si="34">$B$7/2*2*PI()/60*C46</f>
        <v>15.268140296446393</v>
      </c>
      <c r="Q46" s="13">
        <f>K46/($B$8*(2*PI()*$B$7/2-$B$10*$B$9))</f>
        <v>2.0903365260110558</v>
      </c>
      <c r="R46" s="12">
        <f t="shared" ref="R46:R49" si="35">O46*9.81/P46^2</f>
        <v>0.38486939161840239</v>
      </c>
      <c r="S46" s="20">
        <f t="shared" ref="S46:S49" si="36">Q46/P46</f>
        <v>0.13690839129226329</v>
      </c>
      <c r="T46" s="31">
        <f t="shared" si="8"/>
        <v>0.31953090617340874</v>
      </c>
      <c r="U46" s="2">
        <f t="shared" si="9"/>
        <v>4.3026527297494637</v>
      </c>
      <c r="V46" s="31">
        <f t="shared" si="10"/>
        <v>0.7937587740951213</v>
      </c>
      <c r="W46" s="2">
        <v>0.2</v>
      </c>
      <c r="X46" s="26">
        <f t="shared" si="11"/>
        <v>0.81856764622906386</v>
      </c>
      <c r="Y46" s="33">
        <f t="shared" si="12"/>
        <v>2.8074439441469842E-4</v>
      </c>
      <c r="Z46" s="26">
        <v>0</v>
      </c>
      <c r="AA46" s="26">
        <v>0</v>
      </c>
      <c r="AB46" s="2">
        <v>0.01</v>
      </c>
      <c r="AC46" s="2">
        <v>0.01</v>
      </c>
      <c r="AD46" s="2">
        <f t="shared" ref="AD46:AD49" si="37">SQRT(Z46^2+AB46^2)</f>
        <v>0.01</v>
      </c>
      <c r="AE46" s="2">
        <f t="shared" ref="AE46:AE49" si="38">SQRT(AA46^2+AC46^2)</f>
        <v>0.01</v>
      </c>
      <c r="AF46" s="26">
        <f t="shared" si="27"/>
        <v>3.5211912101471031E-2</v>
      </c>
      <c r="AG46" s="26">
        <f t="shared" si="28"/>
        <v>3.5211912101471038E-2</v>
      </c>
      <c r="AH46" s="26">
        <f>SQRT(AF46^2+AG46^2)</f>
        <v>4.979716365098965E-2</v>
      </c>
      <c r="AI46" s="25">
        <f t="shared" si="30"/>
        <v>9.7683179625164276E-2</v>
      </c>
      <c r="AJ46" s="2">
        <v>0</v>
      </c>
      <c r="AK46" s="13">
        <f t="shared" si="17"/>
        <v>0.10510330773485922</v>
      </c>
      <c r="AL46" s="12">
        <f t="shared" si="18"/>
        <v>4.1107068914456356E-3</v>
      </c>
      <c r="AM46" s="31">
        <f t="shared" si="19"/>
        <v>6.8838316713215981E-3</v>
      </c>
    </row>
    <row r="47" spans="1:39" x14ac:dyDescent="0.25">
      <c r="A47" s="2" t="s">
        <v>87</v>
      </c>
      <c r="B47" s="1" t="s">
        <v>12</v>
      </c>
      <c r="C47" s="2">
        <v>2700</v>
      </c>
      <c r="D47" s="2">
        <v>0.9</v>
      </c>
      <c r="E47" s="2">
        <v>1.84</v>
      </c>
      <c r="F47" s="24">
        <v>0</v>
      </c>
      <c r="G47" s="2">
        <v>16.71</v>
      </c>
      <c r="H47" s="2">
        <v>16.579999999999998</v>
      </c>
      <c r="I47" s="2">
        <v>16.760000000000002</v>
      </c>
      <c r="J47" s="26">
        <f t="shared" si="1"/>
        <v>16.683333333333334</v>
      </c>
      <c r="K47" s="17">
        <f t="shared" si="31"/>
        <v>5.4485694666055393E-3</v>
      </c>
      <c r="L47" s="15">
        <f t="shared" si="32"/>
        <v>3.1690720891323929</v>
      </c>
      <c r="M47" s="15">
        <f t="shared" si="33"/>
        <v>6.4789918266706712</v>
      </c>
      <c r="N47" s="13">
        <f t="shared" ref="N47:N49" si="39">L47+M47</f>
        <v>9.6480639158030641</v>
      </c>
      <c r="O47" s="16">
        <f t="shared" si="21"/>
        <v>10.443828120193732</v>
      </c>
      <c r="P47" s="14">
        <f t="shared" si="34"/>
        <v>15.268140296446393</v>
      </c>
      <c r="Q47" s="13">
        <f t="shared" ref="Q46:Q49" si="40">K47/($B$8*(2*PI()*$B$7/2-$B$10*$B$9))</f>
        <v>2.0398009176899095</v>
      </c>
      <c r="R47" s="12">
        <f t="shared" si="35"/>
        <v>0.43949753060346181</v>
      </c>
      <c r="S47" s="20">
        <f t="shared" si="36"/>
        <v>0.13359851809618661</v>
      </c>
      <c r="T47" s="31">
        <f t="shared" si="8"/>
        <v>9.2915732431777406E-2</v>
      </c>
      <c r="U47" s="2">
        <f t="shared" si="9"/>
        <v>4.3026527297494637</v>
      </c>
      <c r="V47" s="31">
        <f t="shared" si="10"/>
        <v>0.23081547494868154</v>
      </c>
      <c r="W47" s="2">
        <v>0.2</v>
      </c>
      <c r="X47" s="26">
        <f t="shared" si="11"/>
        <v>0.3054108437429579</v>
      </c>
      <c r="Y47" s="33">
        <f t="shared" si="12"/>
        <v>9.9743388490796157E-5</v>
      </c>
      <c r="Z47" s="26">
        <v>0</v>
      </c>
      <c r="AA47" s="26">
        <v>0</v>
      </c>
      <c r="AB47" s="2">
        <v>0.01</v>
      </c>
      <c r="AC47" s="2">
        <v>0.01</v>
      </c>
      <c r="AD47" s="2">
        <f t="shared" si="37"/>
        <v>0.01</v>
      </c>
      <c r="AE47" s="2">
        <f t="shared" si="38"/>
        <v>0.01</v>
      </c>
      <c r="AF47" s="26">
        <f t="shared" si="27"/>
        <v>3.5211912101471031E-2</v>
      </c>
      <c r="AG47" s="26">
        <f t="shared" si="28"/>
        <v>3.5211912101471038E-2</v>
      </c>
      <c r="AH47" s="26">
        <f t="shared" ref="AH47:AH49" si="41">SQRT(AF47^2+AG47^2)</f>
        <v>4.979716365098965E-2</v>
      </c>
      <c r="AI47" s="26">
        <f t="shared" si="30"/>
        <v>5.7694103995025177E-2</v>
      </c>
      <c r="AJ47" s="2">
        <v>0</v>
      </c>
      <c r="AK47" s="12">
        <f t="shared" si="17"/>
        <v>3.7341297862497604E-2</v>
      </c>
      <c r="AL47" s="12">
        <f t="shared" si="18"/>
        <v>2.4278852490079591E-3</v>
      </c>
      <c r="AM47" s="31">
        <f t="shared" si="19"/>
        <v>2.4457004676063047E-3</v>
      </c>
    </row>
    <row r="48" spans="1:39" x14ac:dyDescent="0.25">
      <c r="A48" s="2" t="s">
        <v>87</v>
      </c>
      <c r="B48" s="1" t="s">
        <v>13</v>
      </c>
      <c r="C48" s="2">
        <v>2700</v>
      </c>
      <c r="D48" s="2">
        <v>2.89</v>
      </c>
      <c r="E48" s="2">
        <v>3.26</v>
      </c>
      <c r="F48" s="24">
        <v>0</v>
      </c>
      <c r="G48" s="2">
        <v>30.52</v>
      </c>
      <c r="H48" s="2">
        <v>30.23</v>
      </c>
      <c r="I48" s="2">
        <v>30.67</v>
      </c>
      <c r="J48" s="26">
        <f t="shared" si="1"/>
        <v>30.473333333333333</v>
      </c>
      <c r="K48" s="17">
        <f t="shared" si="31"/>
        <v>2.9829457646423892E-3</v>
      </c>
      <c r="L48" s="15">
        <f t="shared" si="32"/>
        <v>10.17624259732513</v>
      </c>
      <c r="M48" s="15">
        <f t="shared" si="33"/>
        <v>11.479083345079555</v>
      </c>
      <c r="N48" s="13">
        <f t="shared" si="39"/>
        <v>21.655325942404687</v>
      </c>
      <c r="O48" s="16">
        <f t="shared" si="21"/>
        <v>21.893837884806008</v>
      </c>
      <c r="P48" s="14">
        <f t="shared" si="34"/>
        <v>15.268140296446393</v>
      </c>
      <c r="Q48" s="13">
        <f t="shared" si="40"/>
        <v>1.1167363370201266</v>
      </c>
      <c r="R48" s="12">
        <f t="shared" si="35"/>
        <v>0.92133723143140611</v>
      </c>
      <c r="S48" s="20">
        <f t="shared" si="36"/>
        <v>7.3141608299213956E-2</v>
      </c>
      <c r="T48" s="31">
        <f t="shared" si="8"/>
        <v>0.2236813209307687</v>
      </c>
      <c r="U48" s="2">
        <f t="shared" si="9"/>
        <v>4.3026527297494637</v>
      </c>
      <c r="V48" s="31">
        <f t="shared" si="10"/>
        <v>0.55565520473825125</v>
      </c>
      <c r="W48" s="2">
        <v>0.2</v>
      </c>
      <c r="X48" s="26">
        <f t="shared" si="11"/>
        <v>0.59055288209669077</v>
      </c>
      <c r="Y48" s="33">
        <f t="shared" si="12"/>
        <v>5.7807500058444974E-5</v>
      </c>
      <c r="Z48" s="26">
        <v>0</v>
      </c>
      <c r="AA48" s="26">
        <v>0</v>
      </c>
      <c r="AB48" s="2">
        <v>0.01</v>
      </c>
      <c r="AC48" s="2">
        <v>0.01</v>
      </c>
      <c r="AD48" s="2">
        <f t="shared" si="37"/>
        <v>0.01</v>
      </c>
      <c r="AE48" s="2">
        <f t="shared" si="38"/>
        <v>0.01</v>
      </c>
      <c r="AF48" s="26">
        <f t="shared" si="27"/>
        <v>3.5211912101471038E-2</v>
      </c>
      <c r="AG48" s="26">
        <f t="shared" si="28"/>
        <v>3.5211912101471031E-2</v>
      </c>
      <c r="AH48" s="26">
        <f t="shared" si="41"/>
        <v>4.979716365098965E-2</v>
      </c>
      <c r="AI48" s="26">
        <f t="shared" si="30"/>
        <v>5.0647966676196698E-2</v>
      </c>
      <c r="AJ48" s="2">
        <v>0</v>
      </c>
      <c r="AK48" s="12">
        <f t="shared" si="17"/>
        <v>2.1641605634522113E-2</v>
      </c>
      <c r="AL48" s="12">
        <f t="shared" si="18"/>
        <v>2.1313694584109985E-3</v>
      </c>
      <c r="AM48" s="31">
        <f t="shared" si="19"/>
        <v>1.4174356021315262E-3</v>
      </c>
    </row>
    <row r="49" spans="1:39" x14ac:dyDescent="0.25">
      <c r="A49" s="2" t="s">
        <v>87</v>
      </c>
      <c r="B49" s="1" t="s">
        <v>14</v>
      </c>
      <c r="C49" s="2">
        <v>2700</v>
      </c>
      <c r="D49" s="2">
        <v>3.52</v>
      </c>
      <c r="E49" s="2">
        <v>3.55</v>
      </c>
      <c r="F49" s="24">
        <v>0</v>
      </c>
      <c r="G49" s="24">
        <v>0</v>
      </c>
      <c r="H49" s="24">
        <v>0</v>
      </c>
      <c r="I49" s="24">
        <v>0</v>
      </c>
      <c r="J49" s="26">
        <f t="shared" si="1"/>
        <v>0</v>
      </c>
      <c r="K49" s="24">
        <v>0</v>
      </c>
      <c r="L49" s="15">
        <f t="shared" si="32"/>
        <v>12.394593059717804</v>
      </c>
      <c r="M49" s="15">
        <f t="shared" si="33"/>
        <v>12.500228796022217</v>
      </c>
      <c r="N49" s="13">
        <f t="shared" si="39"/>
        <v>24.89482185574002</v>
      </c>
      <c r="O49" s="16">
        <f t="shared" si="21"/>
        <v>24.89482185574002</v>
      </c>
      <c r="P49" s="14">
        <f t="shared" si="34"/>
        <v>15.268140296446393</v>
      </c>
      <c r="Q49" s="13">
        <f t="shared" si="40"/>
        <v>0</v>
      </c>
      <c r="R49" s="12">
        <f t="shared" si="35"/>
        <v>1.0476247410904223</v>
      </c>
      <c r="S49" s="20">
        <f t="shared" si="36"/>
        <v>0</v>
      </c>
      <c r="T49" s="31">
        <f t="shared" si="8"/>
        <v>0</v>
      </c>
      <c r="U49" s="2">
        <f t="shared" si="9"/>
        <v>4.3026527297494637</v>
      </c>
      <c r="V49" s="31">
        <f t="shared" si="10"/>
        <v>0</v>
      </c>
      <c r="W49" s="31">
        <v>0</v>
      </c>
      <c r="X49" s="26">
        <f t="shared" si="11"/>
        <v>0</v>
      </c>
      <c r="Y49" s="26">
        <f t="shared" si="12"/>
        <v>0</v>
      </c>
      <c r="Z49" s="26">
        <v>0</v>
      </c>
      <c r="AA49" s="26">
        <v>0</v>
      </c>
      <c r="AB49" s="2">
        <v>0.01</v>
      </c>
      <c r="AC49" s="2">
        <v>0.01</v>
      </c>
      <c r="AD49" s="2">
        <f t="shared" si="37"/>
        <v>0.01</v>
      </c>
      <c r="AE49" s="2">
        <f t="shared" si="38"/>
        <v>0.01</v>
      </c>
      <c r="AF49" s="26">
        <f t="shared" si="27"/>
        <v>3.5211912101471038E-2</v>
      </c>
      <c r="AG49" s="26">
        <f t="shared" si="28"/>
        <v>3.5211912101471038E-2</v>
      </c>
      <c r="AH49" s="26">
        <f t="shared" si="41"/>
        <v>4.9797163650989656E-2</v>
      </c>
      <c r="AI49" s="26">
        <f t="shared" si="30"/>
        <v>4.9797163650989656E-2</v>
      </c>
      <c r="AJ49" s="2">
        <v>0</v>
      </c>
      <c r="AK49" s="26">
        <f t="shared" si="17"/>
        <v>0</v>
      </c>
      <c r="AL49" s="12">
        <f t="shared" si="18"/>
        <v>2.0955659365313687E-3</v>
      </c>
      <c r="AM49" s="31">
        <f t="shared" si="19"/>
        <v>0</v>
      </c>
    </row>
    <row r="52" spans="1:39" x14ac:dyDescent="0.25">
      <c r="B52" s="2" t="s">
        <v>88</v>
      </c>
      <c r="C52" s="2">
        <f>180-147</f>
        <v>33</v>
      </c>
    </row>
    <row r="53" spans="1:39" x14ac:dyDescent="0.25">
      <c r="B53" s="2" t="s">
        <v>89</v>
      </c>
      <c r="C53" s="12">
        <f>_xlfn.COT(RADIANS(C52))</f>
        <v>1.5398649638145827</v>
      </c>
    </row>
    <row r="69" spans="1:14" x14ac:dyDescent="0.25">
      <c r="A69" s="5"/>
      <c r="B69"/>
      <c r="M69" s="16"/>
      <c r="N69" s="16"/>
    </row>
    <row r="70" spans="1:14" x14ac:dyDescent="0.25">
      <c r="A70" s="10"/>
      <c r="B70" s="7"/>
      <c r="C70" s="10"/>
      <c r="D70" s="10"/>
      <c r="E70" s="6"/>
      <c r="F70" s="10"/>
      <c r="G70" s="10"/>
      <c r="H70" s="10"/>
      <c r="K70" s="7"/>
      <c r="L70" s="7"/>
      <c r="M70" s="16"/>
      <c r="N70" s="16"/>
    </row>
    <row r="71" spans="1:14" x14ac:dyDescent="0.25">
      <c r="A71" s="10"/>
      <c r="B71" s="7"/>
      <c r="F71" s="10"/>
      <c r="G71" s="10"/>
      <c r="H71" s="10"/>
      <c r="M71" s="16"/>
      <c r="N71" s="16"/>
    </row>
    <row r="72" spans="1:14" x14ac:dyDescent="0.25">
      <c r="A72" s="10"/>
      <c r="C72" s="7"/>
      <c r="D72" s="7"/>
      <c r="E72" s="3"/>
      <c r="F72" s="7"/>
      <c r="G72" s="7"/>
      <c r="H72" s="7"/>
      <c r="K72" s="7"/>
      <c r="L72" s="7"/>
      <c r="M72" s="16"/>
      <c r="N72" s="16"/>
    </row>
    <row r="73" spans="1:14" x14ac:dyDescent="0.25">
      <c r="M73" s="16"/>
      <c r="N73" s="16"/>
    </row>
    <row r="74" spans="1:14" x14ac:dyDescent="0.25">
      <c r="M74" s="16"/>
      <c r="N74" s="16"/>
    </row>
    <row r="75" spans="1:14" x14ac:dyDescent="0.25">
      <c r="M75" s="16"/>
      <c r="N75" s="16"/>
    </row>
    <row r="76" spans="1:14" x14ac:dyDescent="0.25">
      <c r="M76" s="16"/>
      <c r="N76" s="16"/>
    </row>
    <row r="77" spans="1:14" x14ac:dyDescent="0.25">
      <c r="A77"/>
      <c r="B77"/>
      <c r="C77"/>
      <c r="M77" s="16"/>
      <c r="N77" s="16"/>
    </row>
    <row r="78" spans="1:14" x14ac:dyDescent="0.25">
      <c r="A78" s="5"/>
      <c r="B78"/>
      <c r="C78"/>
      <c r="M78" s="16"/>
      <c r="N78" s="16"/>
    </row>
    <row r="79" spans="1:14" x14ac:dyDescent="0.25">
      <c r="A79" s="10"/>
      <c r="B79" s="7"/>
      <c r="C79" s="10"/>
      <c r="D79" s="10"/>
      <c r="E79" s="6"/>
      <c r="F79" s="10"/>
      <c r="G79" s="10"/>
      <c r="H79" s="10"/>
      <c r="K79" s="7"/>
      <c r="L79" s="7"/>
      <c r="M79" s="16"/>
      <c r="N79" s="16"/>
    </row>
    <row r="80" spans="1:14" x14ac:dyDescent="0.25">
      <c r="A80" s="10"/>
      <c r="B80" s="7"/>
      <c r="F80" s="10"/>
      <c r="G80" s="10"/>
      <c r="H80" s="10"/>
      <c r="M80" s="16"/>
      <c r="N80" s="16"/>
    </row>
    <row r="81" spans="1:14" x14ac:dyDescent="0.25">
      <c r="A81" s="10"/>
      <c r="C81" s="7"/>
      <c r="D81" s="7"/>
      <c r="E81" s="3"/>
      <c r="F81" s="7"/>
      <c r="G81" s="7"/>
      <c r="H81" s="7"/>
      <c r="K81" s="7"/>
      <c r="L81" s="7"/>
      <c r="M81" s="16"/>
      <c r="N81" s="16"/>
    </row>
    <row r="82" spans="1:14" x14ac:dyDescent="0.25">
      <c r="M82" s="16"/>
      <c r="N82" s="16"/>
    </row>
    <row r="83" spans="1:14" x14ac:dyDescent="0.25">
      <c r="M83" s="16"/>
      <c r="N83" s="16"/>
    </row>
    <row r="84" spans="1:14" x14ac:dyDescent="0.25">
      <c r="M84" s="16"/>
      <c r="N84" s="16"/>
    </row>
    <row r="85" spans="1:14" x14ac:dyDescent="0.25">
      <c r="M85" s="16"/>
      <c r="N85" s="16"/>
    </row>
  </sheetData>
  <mergeCells count="24">
    <mergeCell ref="AD13:AE13"/>
    <mergeCell ref="AF13:AG13"/>
    <mergeCell ref="K81:L81"/>
    <mergeCell ref="D13:E13"/>
    <mergeCell ref="L13:M13"/>
    <mergeCell ref="Z13:AA13"/>
    <mergeCell ref="AB13:AC13"/>
    <mergeCell ref="C72:D72"/>
    <mergeCell ref="F72:H72"/>
    <mergeCell ref="K72:L72"/>
    <mergeCell ref="A79:A81"/>
    <mergeCell ref="B79:B80"/>
    <mergeCell ref="C79:D79"/>
    <mergeCell ref="F79:H80"/>
    <mergeCell ref="K79:L79"/>
    <mergeCell ref="C81:D81"/>
    <mergeCell ref="F81:H81"/>
    <mergeCell ref="G13:I13"/>
    <mergeCell ref="G14:I14"/>
    <mergeCell ref="A70:A72"/>
    <mergeCell ref="B70:B71"/>
    <mergeCell ref="C70:D70"/>
    <mergeCell ref="F70:H71"/>
    <mergeCell ref="K70:L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AE64"/>
  <sheetViews>
    <sheetView topLeftCell="A21" zoomScale="115" zoomScaleNormal="115" workbookViewId="0">
      <selection activeCell="M43" sqref="M43"/>
    </sheetView>
  </sheetViews>
  <sheetFormatPr defaultColWidth="10.85546875" defaultRowHeight="15.75" x14ac:dyDescent="0.25"/>
  <cols>
    <col min="1" max="1" width="27.42578125" style="2" bestFit="1" customWidth="1"/>
    <col min="2" max="2" width="18.42578125" style="2" customWidth="1"/>
    <col min="3" max="3" width="17.42578125" style="2" bestFit="1" customWidth="1"/>
    <col min="4" max="4" width="12.140625" style="2" bestFit="1" customWidth="1"/>
    <col min="5" max="7" width="10.85546875" style="2"/>
    <col min="8" max="8" width="13.7109375" style="2" customWidth="1"/>
    <col min="9" max="9" width="16.85546875" style="2" customWidth="1"/>
    <col min="10" max="11" width="16.5703125" style="2" bestFit="1" customWidth="1"/>
    <col min="12" max="12" width="13.140625" style="2" bestFit="1" customWidth="1"/>
    <col min="13" max="13" width="11" style="2" bestFit="1" customWidth="1"/>
    <col min="14" max="14" width="13.7109375" style="2" bestFit="1" customWidth="1"/>
    <col min="15" max="15" width="10.42578125" style="2" customWidth="1"/>
    <col min="16" max="20" width="10.85546875" style="2"/>
    <col min="21" max="21" width="12.7109375" style="2" bestFit="1" customWidth="1"/>
    <col min="22" max="24" width="10.85546875" style="2"/>
    <col min="25" max="25" width="14.7109375" style="2" bestFit="1" customWidth="1"/>
    <col min="26" max="26" width="13.7109375" style="2" bestFit="1" customWidth="1"/>
    <col min="27" max="27" width="10.7109375" style="2" bestFit="1" customWidth="1"/>
    <col min="28" max="28" width="20" style="2" bestFit="1" customWidth="1"/>
    <col min="29" max="29" width="14.85546875" style="2" bestFit="1" customWidth="1"/>
    <col min="30" max="30" width="14.5703125" style="2" bestFit="1" customWidth="1"/>
    <col min="31" max="16384" width="10.85546875" style="2"/>
  </cols>
  <sheetData>
    <row r="1" spans="1:31" x14ac:dyDescent="0.25">
      <c r="A1" s="1" t="s">
        <v>1</v>
      </c>
      <c r="B1" s="2">
        <v>5</v>
      </c>
      <c r="C1" s="2" t="s">
        <v>2</v>
      </c>
    </row>
    <row r="2" spans="1:31" x14ac:dyDescent="0.25">
      <c r="A2" s="1" t="s">
        <v>3</v>
      </c>
      <c r="B2" s="2">
        <v>998</v>
      </c>
      <c r="C2" s="2" t="s">
        <v>4</v>
      </c>
    </row>
    <row r="3" spans="1:31" x14ac:dyDescent="0.25">
      <c r="A3" s="1" t="s">
        <v>5</v>
      </c>
      <c r="B3" s="2">
        <v>200</v>
      </c>
      <c r="C3" s="2" t="s">
        <v>6</v>
      </c>
      <c r="D3" s="2">
        <v>90.718500000000006</v>
      </c>
      <c r="E3" s="2" t="s">
        <v>21</v>
      </c>
    </row>
    <row r="4" spans="1:31" x14ac:dyDescent="0.25">
      <c r="A4" s="1" t="s">
        <v>20</v>
      </c>
      <c r="B4" s="2">
        <v>1.502</v>
      </c>
      <c r="C4" s="2" t="s">
        <v>21</v>
      </c>
    </row>
    <row r="5" spans="1:31" x14ac:dyDescent="0.25">
      <c r="A5" s="1" t="s">
        <v>30</v>
      </c>
      <c r="B5" s="2">
        <f>50.8*10^(-3)</f>
        <v>5.0799999999999998E-2</v>
      </c>
      <c r="C5" s="2" t="s">
        <v>40</v>
      </c>
    </row>
    <row r="6" spans="1:31" x14ac:dyDescent="0.25">
      <c r="A6" s="1" t="s">
        <v>31</v>
      </c>
      <c r="B6" s="2">
        <f>38.1*10^(-3)</f>
        <v>3.8100000000000002E-2</v>
      </c>
      <c r="C6" s="2" t="s">
        <v>40</v>
      </c>
    </row>
    <row r="7" spans="1:31" x14ac:dyDescent="0.25">
      <c r="A7" s="1" t="s">
        <v>35</v>
      </c>
      <c r="B7" s="2">
        <v>0.108</v>
      </c>
      <c r="C7" s="2" t="s">
        <v>40</v>
      </c>
      <c r="H7" s="2">
        <f>0.108/2</f>
        <v>5.3999999999999999E-2</v>
      </c>
    </row>
    <row r="8" spans="1:31" x14ac:dyDescent="0.25">
      <c r="A8" s="1" t="s">
        <v>39</v>
      </c>
      <c r="B8" s="2">
        <f>9*10^(-3)</f>
        <v>9.0000000000000011E-3</v>
      </c>
      <c r="C8" s="2" t="s">
        <v>40</v>
      </c>
    </row>
    <row r="9" spans="1:31" x14ac:dyDescent="0.25">
      <c r="A9" s="1" t="s">
        <v>41</v>
      </c>
      <c r="B9" s="2">
        <v>8.5000000000000006E-3</v>
      </c>
      <c r="C9" s="2" t="s">
        <v>40</v>
      </c>
    </row>
    <row r="10" spans="1:31" ht="15.75" customHeight="1" x14ac:dyDescent="0.25">
      <c r="A10" s="1" t="s">
        <v>37</v>
      </c>
      <c r="B10" s="2">
        <v>5</v>
      </c>
    </row>
    <row r="11" spans="1:31" x14ac:dyDescent="0.25">
      <c r="K11" s="23"/>
    </row>
    <row r="12" spans="1:31" x14ac:dyDescent="0.25">
      <c r="A12" s="4" t="s">
        <v>16</v>
      </c>
      <c r="K12" s="23"/>
      <c r="V12" s="2" t="s">
        <v>62</v>
      </c>
      <c r="AC12" s="2" t="s">
        <v>63</v>
      </c>
    </row>
    <row r="13" spans="1:31" x14ac:dyDescent="0.25">
      <c r="E13" s="7" t="s">
        <v>9</v>
      </c>
      <c r="F13" s="7"/>
      <c r="G13" s="7"/>
      <c r="K13" s="23"/>
      <c r="O13" s="2" t="s">
        <v>45</v>
      </c>
      <c r="P13" s="19" t="s">
        <v>46</v>
      </c>
    </row>
    <row r="14" spans="1:31" x14ac:dyDescent="0.25">
      <c r="A14" s="1" t="s">
        <v>10</v>
      </c>
      <c r="B14" s="1" t="s">
        <v>17</v>
      </c>
      <c r="C14" s="1" t="s">
        <v>7</v>
      </c>
      <c r="D14" s="1" t="s">
        <v>8</v>
      </c>
      <c r="E14" s="7" t="s">
        <v>19</v>
      </c>
      <c r="F14" s="7"/>
      <c r="G14" s="7"/>
      <c r="H14" s="1" t="s">
        <v>28</v>
      </c>
      <c r="I14" s="1" t="s">
        <v>27</v>
      </c>
      <c r="J14" s="1" t="s">
        <v>29</v>
      </c>
      <c r="K14" s="22" t="s">
        <v>69</v>
      </c>
      <c r="L14" s="1" t="s">
        <v>67</v>
      </c>
      <c r="M14" s="1" t="s">
        <v>32</v>
      </c>
      <c r="N14" s="1" t="s">
        <v>38</v>
      </c>
      <c r="O14" s="2" t="s">
        <v>43</v>
      </c>
      <c r="P14" s="19" t="s">
        <v>42</v>
      </c>
      <c r="Q14" s="2" t="s">
        <v>50</v>
      </c>
      <c r="R14" s="2" t="s">
        <v>51</v>
      </c>
      <c r="S14" s="2" t="s">
        <v>52</v>
      </c>
      <c r="T14" s="2" t="s">
        <v>53</v>
      </c>
      <c r="U14" s="2" t="s">
        <v>54</v>
      </c>
      <c r="V14" s="2" t="s">
        <v>55</v>
      </c>
      <c r="W14" s="2" t="s">
        <v>57</v>
      </c>
      <c r="X14" s="2" t="s">
        <v>58</v>
      </c>
      <c r="Y14" s="2" t="s">
        <v>59</v>
      </c>
      <c r="Z14" s="2" t="s">
        <v>60</v>
      </c>
      <c r="AA14" s="19" t="s">
        <v>61</v>
      </c>
      <c r="AB14" s="2" t="s">
        <v>64</v>
      </c>
      <c r="AC14" s="2" t="s">
        <v>65</v>
      </c>
      <c r="AD14" s="2" t="s">
        <v>66</v>
      </c>
      <c r="AE14" s="2" t="s">
        <v>68</v>
      </c>
    </row>
    <row r="15" spans="1:31" x14ac:dyDescent="0.25">
      <c r="A15" s="3"/>
      <c r="B15" s="3" t="s">
        <v>22</v>
      </c>
      <c r="C15" s="3" t="s">
        <v>0</v>
      </c>
      <c r="D15" s="3" t="s">
        <v>18</v>
      </c>
      <c r="E15" s="3" t="s">
        <v>47</v>
      </c>
      <c r="F15" s="3" t="s">
        <v>48</v>
      </c>
      <c r="G15" s="3" t="s">
        <v>49</v>
      </c>
      <c r="H15" s="3" t="s">
        <v>19</v>
      </c>
      <c r="I15" s="3" t="s">
        <v>33</v>
      </c>
      <c r="J15" s="3" t="s">
        <v>34</v>
      </c>
      <c r="K15" s="22"/>
      <c r="L15" s="3" t="s">
        <v>34</v>
      </c>
      <c r="M15" s="3" t="s">
        <v>36</v>
      </c>
      <c r="N15" s="3" t="s">
        <v>36</v>
      </c>
      <c r="P15" s="19"/>
      <c r="Q15" s="2" t="s">
        <v>19</v>
      </c>
      <c r="S15" s="2" t="s">
        <v>19</v>
      </c>
      <c r="T15" s="2" t="s">
        <v>19</v>
      </c>
      <c r="U15" s="2" t="s">
        <v>19</v>
      </c>
      <c r="V15" s="2" t="s">
        <v>56</v>
      </c>
      <c r="W15" s="2" t="s">
        <v>0</v>
      </c>
      <c r="X15" s="2" t="s">
        <v>0</v>
      </c>
      <c r="Y15" s="2" t="s">
        <v>0</v>
      </c>
      <c r="Z15" s="2" t="s">
        <v>34</v>
      </c>
      <c r="AA15" s="19" t="s">
        <v>34</v>
      </c>
      <c r="AB15" s="2" t="s">
        <v>36</v>
      </c>
      <c r="AC15" s="2" t="s">
        <v>36</v>
      </c>
    </row>
    <row r="16" spans="1:31" x14ac:dyDescent="0.25">
      <c r="A16" s="1" t="s">
        <v>11</v>
      </c>
      <c r="B16" s="3">
        <v>1800</v>
      </c>
      <c r="C16" s="15">
        <v>0.75</v>
      </c>
      <c r="D16" s="15">
        <v>8.75</v>
      </c>
      <c r="E16" s="15">
        <v>28.55</v>
      </c>
      <c r="F16" s="15">
        <v>28.99</v>
      </c>
      <c r="G16" s="15">
        <v>28.79</v>
      </c>
      <c r="H16" s="15">
        <f>AVERAGE(E16:G16)</f>
        <v>28.776666666666667</v>
      </c>
      <c r="I16" s="17">
        <f>$D$3/$B$2/H16</f>
        <v>3.1588196664381701E-3</v>
      </c>
      <c r="J16" s="15">
        <f>5*C16/($B$2*9.81)*6894.76</f>
        <v>2.6408934076103274</v>
      </c>
      <c r="K16" s="22"/>
      <c r="L16" s="15">
        <f>J16+8*I16^2/(PI()^2*$B$6^4*9.81)*(1-($B$6/$B$5)^4)</f>
        <v>2.9083597146332694</v>
      </c>
      <c r="M16" s="14">
        <f>$B$7/2*2*PI()/60*B16</f>
        <v>10.178760197630929</v>
      </c>
      <c r="N16" s="14">
        <f>I16/($B$8*(2*PI()*$B$7/2-$B$10*$B$9))</f>
        <v>1.1825788941315878</v>
      </c>
      <c r="O16" s="12">
        <f>L16*9.81/M16^2</f>
        <v>0.27537680824016186</v>
      </c>
      <c r="P16" s="20">
        <f>N16/M16</f>
        <v>0.11618103493653666</v>
      </c>
      <c r="Q16" s="2">
        <f>_xlfn.STDEV.S(E16:G16)</f>
        <v>0.22030282189144293</v>
      </c>
      <c r="R16" s="2">
        <f>-_xlfn.T.INV(0.025, 2)</f>
        <v>4.3026527297494637</v>
      </c>
      <c r="S16" s="2">
        <f>Q16*R16/SQRT(COUNT(E16:G16))</f>
        <v>0.54726254786554984</v>
      </c>
      <c r="T16" s="2">
        <v>0.2</v>
      </c>
      <c r="U16" s="2">
        <f>SQRT(S16^2+T16^2)</f>
        <v>0.58266310703209379</v>
      </c>
      <c r="V16" s="2">
        <f>I16*(U16/H16)</f>
        <v>6.3959029818172578E-5</v>
      </c>
      <c r="W16" s="2">
        <v>0</v>
      </c>
      <c r="X16" s="2">
        <v>0.01</v>
      </c>
      <c r="Y16" s="2">
        <f>SQRT(W16^2+X16^2)</f>
        <v>0.01</v>
      </c>
      <c r="Z16" s="2">
        <f>J16*Y16</f>
        <v>2.6408934076103275E-2</v>
      </c>
      <c r="AA16" s="19">
        <f>SQRT(Z16^2+(16*I16/(PI()^2*$B$6^4*9.81)*(1-($B$6/$B$5)^(4))*V16)^2)</f>
        <v>2.8543763623004578E-2</v>
      </c>
      <c r="AB16" s="2">
        <v>0</v>
      </c>
      <c r="AC16" s="2">
        <f>N16*V16/I16</f>
        <v>2.3944576373171149E-2</v>
      </c>
      <c r="AD16" s="2">
        <f>O16*AA16/L16</f>
        <v>2.7026541737997446E-3</v>
      </c>
      <c r="AE16" s="2">
        <f>P16*AC16/N16</f>
        <v>2.3524059815009852E-3</v>
      </c>
    </row>
    <row r="17" spans="1:31" x14ac:dyDescent="0.25">
      <c r="A17" s="1" t="s">
        <v>12</v>
      </c>
      <c r="B17" s="3">
        <v>1800</v>
      </c>
      <c r="C17" s="15">
        <v>0.83</v>
      </c>
      <c r="D17" s="15">
        <v>8.5</v>
      </c>
      <c r="E17" s="15">
        <v>30.14</v>
      </c>
      <c r="F17" s="15">
        <v>30.51</v>
      </c>
      <c r="G17" s="15">
        <v>30.16</v>
      </c>
      <c r="H17" s="15">
        <f t="shared" ref="H17:H26" si="0">AVERAGE(E17:G17)</f>
        <v>30.27</v>
      </c>
      <c r="I17" s="17">
        <f t="shared" ref="I17:I26" si="1">$D$3/$B$2/H17</f>
        <v>3.0029831714966111E-3</v>
      </c>
      <c r="J17" s="15">
        <f>5*C17/($B$2*9.81)*6894.76</f>
        <v>2.9225887044220955</v>
      </c>
      <c r="K17" s="22"/>
      <c r="L17" s="15">
        <f>J17+8*I17^2/(PI()^2*$B$6^4*9.81)*(1-($B$6/$B$5)^4)</f>
        <v>3.1643157320369197</v>
      </c>
      <c r="M17" s="14">
        <f>$B$7/2*2*PI()/60*B17</f>
        <v>10.178760197630929</v>
      </c>
      <c r="N17" s="14">
        <f>I17/($B$8*(2*PI()*$B$7/2-$B$10*$B$9))</f>
        <v>1.1242378144519325</v>
      </c>
      <c r="O17" s="12">
        <f t="shared" ref="O17:O32" si="2">L17*9.81/M17^2</f>
        <v>0.29961189538149513</v>
      </c>
      <c r="P17" s="20">
        <f t="shared" ref="P17:P32" si="3">N17/M17</f>
        <v>0.11044938603756427</v>
      </c>
      <c r="Q17" s="2">
        <f>_xlfn.STDEV.S(E17:G17)</f>
        <v>0.20808652046684881</v>
      </c>
      <c r="R17" s="2">
        <f t="shared" ref="R17:R41" si="4">-_xlfn.T.INV(0.025, 2)</f>
        <v>4.3026527297494637</v>
      </c>
      <c r="S17" s="2">
        <f>Q17*R17/SQRT(COUNT(E17:G17))</f>
        <v>0.51691557279860623</v>
      </c>
      <c r="T17" s="2">
        <v>0.2</v>
      </c>
      <c r="U17" s="2">
        <f t="shared" ref="U17:U41" si="5">SQRT(S17^2+T17^2)</f>
        <v>0.55425780048792384</v>
      </c>
      <c r="V17" s="2">
        <f>I17*(U17/H17)</f>
        <v>5.4986020731283828E-5</v>
      </c>
      <c r="W17" s="2">
        <v>0</v>
      </c>
      <c r="X17" s="2">
        <v>0.01</v>
      </c>
      <c r="Y17" s="2">
        <f t="shared" ref="Y17:Y41" si="6">SQRT(W17^2+X17^2)</f>
        <v>0.01</v>
      </c>
      <c r="Z17" s="2">
        <f>J17*Y17</f>
        <v>2.9225887044220956E-2</v>
      </c>
      <c r="AA17" s="19">
        <f>SQRT(Z17^2+(16*I17/(PI()^2*$B$6^4*9.81)*(1-($B$6/$B$5)^(4))*V17)^2)</f>
        <v>3.0537110851967111E-2</v>
      </c>
      <c r="AB17" s="2">
        <v>0</v>
      </c>
      <c r="AC17" s="2">
        <f>N17*V17/I17</f>
        <v>2.0585318079401348E-2</v>
      </c>
      <c r="AD17" s="2">
        <f t="shared" ref="AD17:AD41" si="7">O17*AA17/L17</f>
        <v>2.8913934122317035E-3</v>
      </c>
      <c r="AE17" s="2">
        <f t="shared" ref="AE17:AE41" si="8">P17*AC17/N17</f>
        <v>2.0223797083059789E-3</v>
      </c>
    </row>
    <row r="18" spans="1:31" x14ac:dyDescent="0.25">
      <c r="A18" s="1" t="s">
        <v>13</v>
      </c>
      <c r="B18" s="3">
        <v>1800</v>
      </c>
      <c r="C18" s="15">
        <v>1.43</v>
      </c>
      <c r="D18" s="15">
        <v>7.25</v>
      </c>
      <c r="E18" s="15">
        <v>61.12</v>
      </c>
      <c r="F18" s="15">
        <v>60.8</v>
      </c>
      <c r="G18" s="15">
        <v>60.86</v>
      </c>
      <c r="H18" s="15">
        <f t="shared" si="0"/>
        <v>60.926666666666655</v>
      </c>
      <c r="I18" s="17">
        <f t="shared" si="1"/>
        <v>1.4919624784090562E-3</v>
      </c>
      <c r="J18" s="15">
        <f t="shared" ref="J18:J27" si="9">5*C18/($B$2*9.81)*6894.76</f>
        <v>5.035303430510357</v>
      </c>
      <c r="K18" s="22"/>
      <c r="L18" s="15">
        <f>J18+8*I18^2/(PI()^2*$B$6^4*9.81)*(1-($B$6/$B$5)^4)</f>
        <v>5.0949705699168666</v>
      </c>
      <c r="M18" s="14">
        <f>$B$7/2*2*PI()/60*B18</f>
        <v>10.178760197630929</v>
      </c>
      <c r="N18" s="14">
        <f>I18/($B$8*(2*PI()*$B$7/2-$B$10*$B$9))</f>
        <v>0.55855146039161829</v>
      </c>
      <c r="O18" s="12">
        <f t="shared" si="2"/>
        <v>0.48241513130647301</v>
      </c>
      <c r="P18" s="20">
        <f t="shared" si="3"/>
        <v>5.487421351390312E-2</v>
      </c>
      <c r="Q18" s="2">
        <f>_xlfn.STDEV.S(E18:G18)</f>
        <v>0.17009801096230737</v>
      </c>
      <c r="R18" s="2">
        <f t="shared" si="4"/>
        <v>4.3026527297494637</v>
      </c>
      <c r="S18" s="2">
        <f>Q18*R18/SQRT(COUNT(E18:G18))</f>
        <v>0.42254688372518895</v>
      </c>
      <c r="T18" s="2">
        <v>0.2</v>
      </c>
      <c r="U18" s="2">
        <f t="shared" si="5"/>
        <v>0.46748889713646502</v>
      </c>
      <c r="V18" s="2">
        <f>I18*(U18/H18)</f>
        <v>1.1447793417230061E-5</v>
      </c>
      <c r="W18" s="2">
        <v>0</v>
      </c>
      <c r="X18" s="2">
        <v>0.01</v>
      </c>
      <c r="Y18" s="2">
        <f t="shared" si="6"/>
        <v>0.01</v>
      </c>
      <c r="Z18" s="2">
        <f>J18*Y18</f>
        <v>5.0353034305103572E-2</v>
      </c>
      <c r="AA18" s="19">
        <f>SQRT(Z18^2+(16*I18/(PI()^2*$B$6^4*9.81)*(1-($B$6/$B$5)^(4))*V18)^2)</f>
        <v>5.036135896788569E-2</v>
      </c>
      <c r="AB18" s="2">
        <v>0</v>
      </c>
      <c r="AC18" s="2">
        <f>N18*V18/I18</f>
        <v>4.2857523724549674E-3</v>
      </c>
      <c r="AD18" s="2">
        <f t="shared" si="7"/>
        <v>4.7684439519071484E-3</v>
      </c>
      <c r="AE18" s="2">
        <f t="shared" si="8"/>
        <v>4.2104856478026285E-4</v>
      </c>
    </row>
    <row r="19" spans="1:31" x14ac:dyDescent="0.25">
      <c r="A19" s="1" t="s">
        <v>14</v>
      </c>
      <c r="B19" s="3">
        <v>1800</v>
      </c>
      <c r="C19" s="15">
        <v>1.56</v>
      </c>
      <c r="D19" s="15">
        <v>4.5</v>
      </c>
      <c r="E19" s="15" t="s">
        <v>15</v>
      </c>
      <c r="F19" s="15" t="s">
        <v>15</v>
      </c>
      <c r="G19" s="15" t="s">
        <v>15</v>
      </c>
      <c r="H19" s="15" t="s">
        <v>15</v>
      </c>
      <c r="I19" s="18"/>
      <c r="J19" s="15">
        <f t="shared" si="9"/>
        <v>5.4930582878294816</v>
      </c>
      <c r="K19" s="22"/>
      <c r="L19" s="15">
        <f>J19+8*I19^2/(PI()^2*$B$6^4*9.81)*(1-($B$6/$B$5)^4)</f>
        <v>5.4930582878294816</v>
      </c>
      <c r="M19" s="14">
        <f>$B$7/2*2*PI()/60*B19</f>
        <v>10.178760197630929</v>
      </c>
      <c r="N19" s="14">
        <f>I19/($B$8*(2*PI()*$B$7/2-$B$10*$B$9))</f>
        <v>0</v>
      </c>
      <c r="O19" s="12">
        <f t="shared" si="2"/>
        <v>0.52010789833484894</v>
      </c>
      <c r="P19" s="20">
        <f t="shared" si="3"/>
        <v>0</v>
      </c>
      <c r="R19" s="2">
        <f t="shared" si="4"/>
        <v>4.3026527297494637</v>
      </c>
      <c r="S19" s="2" t="e">
        <f>Q19*R19/SQRT(COUNT(E19:G19))</f>
        <v>#DIV/0!</v>
      </c>
      <c r="T19" s="2">
        <v>0.2</v>
      </c>
      <c r="U19" s="2" t="e">
        <f t="shared" si="5"/>
        <v>#DIV/0!</v>
      </c>
      <c r="V19" s="2" t="e">
        <f>I19*(U19/H19)</f>
        <v>#DIV/0!</v>
      </c>
      <c r="W19" s="2">
        <v>0</v>
      </c>
      <c r="X19" s="2">
        <v>0.01</v>
      </c>
      <c r="Y19" s="2">
        <f t="shared" si="6"/>
        <v>0.01</v>
      </c>
      <c r="Z19" s="2">
        <f>J19*Y19</f>
        <v>5.4930582878294817E-2</v>
      </c>
      <c r="AA19" s="19" t="e">
        <f>SQRT(Z19^2+(16*I19/(PI()^2*$B$6^4*9.81)*(1-($B$6/$B$5)^(4))*V19)^2)</f>
        <v>#DIV/0!</v>
      </c>
      <c r="AB19" s="2">
        <v>0</v>
      </c>
      <c r="AC19" s="2" t="e">
        <f>N19*V19/I19</f>
        <v>#DIV/0!</v>
      </c>
      <c r="AD19" s="2" t="e">
        <f t="shared" si="7"/>
        <v>#DIV/0!</v>
      </c>
      <c r="AE19" s="2" t="e">
        <f t="shared" si="8"/>
        <v>#DIV/0!</v>
      </c>
    </row>
    <row r="20" spans="1:31" x14ac:dyDescent="0.25">
      <c r="A20" s="1" t="s">
        <v>11</v>
      </c>
      <c r="B20" s="3">
        <v>2700</v>
      </c>
      <c r="C20" s="15">
        <v>1.5</v>
      </c>
      <c r="D20" s="15">
        <v>16.5</v>
      </c>
      <c r="E20" s="15">
        <v>18.66</v>
      </c>
      <c r="F20" s="15">
        <v>18.93</v>
      </c>
      <c r="G20" s="15">
        <v>18.55</v>
      </c>
      <c r="H20" s="15">
        <f t="shared" si="0"/>
        <v>18.713333333333335</v>
      </c>
      <c r="I20" s="17">
        <f t="shared" si="1"/>
        <v>4.857515172846584E-3</v>
      </c>
      <c r="J20" s="15">
        <f t="shared" si="9"/>
        <v>5.2817868152206549</v>
      </c>
      <c r="K20" s="22"/>
      <c r="L20" s="15">
        <f>J20+8*I20^2/(PI()^2*$B$6^4*9.81)*(1-($B$6/$B$5)^4)</f>
        <v>5.9142681980939251</v>
      </c>
      <c r="M20" s="14">
        <f>$B$7/2*2*PI()/60*B20</f>
        <v>15.268140296446393</v>
      </c>
      <c r="N20" s="14">
        <f>I20/($B$8*(2*PI()*$B$7/2-$B$10*$B$9))</f>
        <v>1.8185257557958669</v>
      </c>
      <c r="O20" s="12">
        <f t="shared" si="2"/>
        <v>0.24888443571404245</v>
      </c>
      <c r="P20" s="20">
        <f t="shared" si="3"/>
        <v>0.11910591077153794</v>
      </c>
      <c r="Q20" s="2">
        <f>_xlfn.STDEV.S(E20:G20)</f>
        <v>0.19553345834749905</v>
      </c>
      <c r="R20" s="2">
        <f t="shared" si="4"/>
        <v>4.3026527297494637</v>
      </c>
      <c r="S20" s="2">
        <f>Q20*R20/SQRT(COUNT(E20:G20))</f>
        <v>0.48573203778998497</v>
      </c>
      <c r="T20" s="2">
        <v>0.2</v>
      </c>
      <c r="U20" s="2">
        <f t="shared" si="5"/>
        <v>0.52529573816623654</v>
      </c>
      <c r="V20" s="2">
        <f>I20*(U20/H20)</f>
        <v>1.3635368819241931E-4</v>
      </c>
      <c r="W20" s="2">
        <v>0</v>
      </c>
      <c r="X20" s="2">
        <v>0.01</v>
      </c>
      <c r="Y20" s="2">
        <f t="shared" si="6"/>
        <v>0.01</v>
      </c>
      <c r="Z20" s="2">
        <f>J20*Y20</f>
        <v>5.281786815220655E-2</v>
      </c>
      <c r="AA20" s="19">
        <f>SQRT(Z20^2+(16*I20/(PI()^2*$B$6^4*9.81)*(1-($B$6/$B$5)^(4))*V20)^2)</f>
        <v>6.3644088213428845E-2</v>
      </c>
      <c r="AB20" s="2">
        <v>0</v>
      </c>
      <c r="AC20" s="2">
        <f>N20*V20/I20</f>
        <v>5.1047229921540947E-2</v>
      </c>
      <c r="AD20" s="2">
        <f t="shared" si="7"/>
        <v>2.6782726875049334E-3</v>
      </c>
      <c r="AE20" s="2">
        <f t="shared" si="8"/>
        <v>3.3433822934822006E-3</v>
      </c>
    </row>
    <row r="21" spans="1:31" x14ac:dyDescent="0.25">
      <c r="A21" s="1" t="s">
        <v>12</v>
      </c>
      <c r="B21" s="3">
        <v>2700</v>
      </c>
      <c r="C21" s="15">
        <v>1.62</v>
      </c>
      <c r="D21" s="15">
        <v>16.5</v>
      </c>
      <c r="E21" s="15">
        <v>19.23</v>
      </c>
      <c r="F21" s="15">
        <v>19.23</v>
      </c>
      <c r="G21" s="15">
        <v>18.96</v>
      </c>
      <c r="H21" s="15">
        <f t="shared" si="0"/>
        <v>19.14</v>
      </c>
      <c r="I21" s="17">
        <f t="shared" si="1"/>
        <v>4.7492320063324146E-3</v>
      </c>
      <c r="J21" s="15">
        <f t="shared" si="9"/>
        <v>5.7043297604383083</v>
      </c>
      <c r="K21" s="22"/>
      <c r="L21" s="15">
        <f>J21+8*I21^2/(PI()^2*$B$6^4*9.81)*(1-($B$6/$B$5)^4)</f>
        <v>6.3089270373939392</v>
      </c>
      <c r="M21" s="14">
        <f>$B$7/2*2*PI()/60*B21</f>
        <v>15.268140296446393</v>
      </c>
      <c r="N21" s="14">
        <f>I21/($B$8*(2*PI()*$B$7/2-$B$10*$B$9))</f>
        <v>1.7779873899404386</v>
      </c>
      <c r="O21" s="12">
        <f t="shared" si="2"/>
        <v>0.26549248242900192</v>
      </c>
      <c r="P21" s="20">
        <f t="shared" si="3"/>
        <v>0.11645081558192513</v>
      </c>
      <c r="Q21" s="2">
        <f>_xlfn.STDEV.S(E21:G21)</f>
        <v>0.15588457268119871</v>
      </c>
      <c r="R21" s="2">
        <f t="shared" si="4"/>
        <v>4.3026527297494637</v>
      </c>
      <c r="S21" s="2">
        <f>Q21*R21/SQRT(COUNT(E21:G21))</f>
        <v>0.38723874567745109</v>
      </c>
      <c r="T21" s="2">
        <v>0.2</v>
      </c>
      <c r="U21" s="2">
        <f t="shared" si="5"/>
        <v>0.43583694904613773</v>
      </c>
      <c r="V21" s="2">
        <f>I21*(U21/H21)</f>
        <v>1.0814476426082482E-4</v>
      </c>
      <c r="W21" s="2">
        <v>0</v>
      </c>
      <c r="X21" s="2">
        <v>0.01</v>
      </c>
      <c r="Y21" s="2">
        <f t="shared" si="6"/>
        <v>0.01</v>
      </c>
      <c r="Z21" s="2">
        <f>J21*Y21</f>
        <v>5.7043297604383085E-2</v>
      </c>
      <c r="AA21" s="19">
        <f>SQRT(Z21^2+(16*I21/(PI()^2*$B$6^4*9.81)*(1-($B$6/$B$5)^(4))*V21)^2)</f>
        <v>6.33410635636492E-2</v>
      </c>
      <c r="AB21" s="2">
        <v>0</v>
      </c>
      <c r="AC21" s="2">
        <f>N21*V21/I21</f>
        <v>4.0486551696663868E-2</v>
      </c>
      <c r="AD21" s="2">
        <f t="shared" si="7"/>
        <v>2.6655207938738401E-3</v>
      </c>
      <c r="AE21" s="2">
        <f t="shared" si="8"/>
        <v>2.6517015766541635E-3</v>
      </c>
    </row>
    <row r="22" spans="1:31" x14ac:dyDescent="0.25">
      <c r="A22" s="1" t="s">
        <v>13</v>
      </c>
      <c r="B22" s="3">
        <v>2700</v>
      </c>
      <c r="C22" s="15">
        <v>2.94</v>
      </c>
      <c r="D22" s="15">
        <v>14.5</v>
      </c>
      <c r="E22" s="15">
        <v>31.15</v>
      </c>
      <c r="F22" s="15">
        <v>31.3</v>
      </c>
      <c r="G22" s="15">
        <v>31.22</v>
      </c>
      <c r="H22" s="15">
        <f t="shared" si="0"/>
        <v>31.223333333333333</v>
      </c>
      <c r="I22" s="17">
        <f t="shared" si="1"/>
        <v>2.9112939233864334E-3</v>
      </c>
      <c r="J22" s="16">
        <f t="shared" si="9"/>
        <v>10.352302157832483</v>
      </c>
      <c r="K22" s="22"/>
      <c r="L22" s="16">
        <f>J22+8*I22^2/(PI()^2*$B$6^4*9.81)*(1-($B$6/$B$5)^4)</f>
        <v>10.579493366851725</v>
      </c>
      <c r="M22" s="14">
        <f>$B$7/2*2*PI()/60*B22</f>
        <v>15.268140296446393</v>
      </c>
      <c r="N22" s="14">
        <f>I22/($B$8*(2*PI()*$B$7/2-$B$10*$B$9))</f>
        <v>1.089911774638411</v>
      </c>
      <c r="O22" s="12">
        <f t="shared" si="2"/>
        <v>0.44520660013320734</v>
      </c>
      <c r="P22" s="20">
        <f t="shared" si="3"/>
        <v>7.1384710480560901E-2</v>
      </c>
      <c r="Q22" s="2">
        <f>_xlfn.STDEV.S(E22:G22)</f>
        <v>7.5055534994652423E-2</v>
      </c>
      <c r="R22" s="2">
        <f t="shared" si="4"/>
        <v>4.3026527297494637</v>
      </c>
      <c r="S22" s="2">
        <f>Q22*R22/SQRT(COUNT(E22:G22))</f>
        <v>0.18644828495581278</v>
      </c>
      <c r="T22" s="2">
        <v>0.2</v>
      </c>
      <c r="U22" s="2">
        <f t="shared" si="5"/>
        <v>0.27342816783017065</v>
      </c>
      <c r="V22" s="2">
        <f>I22*(U22/H22)</f>
        <v>2.5494707915661208E-5</v>
      </c>
      <c r="W22" s="2">
        <v>0</v>
      </c>
      <c r="X22" s="2">
        <v>0.01</v>
      </c>
      <c r="Y22" s="2">
        <f t="shared" si="6"/>
        <v>0.01</v>
      </c>
      <c r="Z22" s="2">
        <f>J22*Y22</f>
        <v>0.10352302157832483</v>
      </c>
      <c r="AA22" s="19">
        <f>SQRT(Z22^2+(16*I22/(PI()^2*$B$6^4*9.81)*(1-($B$6/$B$5)^(4))*V22)^2)</f>
        <v>0.10359946564062904</v>
      </c>
      <c r="AB22" s="2">
        <v>0</v>
      </c>
      <c r="AC22" s="2">
        <f>N22*V22/I22</f>
        <v>9.5445472286509216E-3</v>
      </c>
      <c r="AD22" s="2">
        <f t="shared" si="7"/>
        <v>4.3596762410189911E-3</v>
      </c>
      <c r="AE22" s="2">
        <f t="shared" si="8"/>
        <v>6.251283419810062E-4</v>
      </c>
    </row>
    <row r="23" spans="1:31" x14ac:dyDescent="0.25">
      <c r="A23" s="1" t="s">
        <v>14</v>
      </c>
      <c r="B23" s="3">
        <v>2700</v>
      </c>
      <c r="C23" s="15">
        <v>3.52</v>
      </c>
      <c r="D23" s="15">
        <v>8.5</v>
      </c>
      <c r="E23" s="15" t="s">
        <v>15</v>
      </c>
      <c r="F23" s="15" t="s">
        <v>15</v>
      </c>
      <c r="G23" s="15" t="s">
        <v>15</v>
      </c>
      <c r="H23" s="15" t="s">
        <v>15</v>
      </c>
      <c r="I23" s="17"/>
      <c r="J23" s="16">
        <f t="shared" si="9"/>
        <v>12.394593059717804</v>
      </c>
      <c r="K23" s="22"/>
      <c r="L23" s="16">
        <f>J23+8*I23^2/(PI()^2*$B$6^4*9.81)*(1-($B$6/$B$5)^4)</f>
        <v>12.394593059717804</v>
      </c>
      <c r="M23" s="14">
        <f>$B$7/2*2*PI()/60*B23</f>
        <v>15.268140296446393</v>
      </c>
      <c r="N23" s="14">
        <f>I23/($B$8*(2*PI()*$B$7/2-$B$10*$B$9))</f>
        <v>0</v>
      </c>
      <c r="O23" s="12">
        <f t="shared" si="2"/>
        <v>0.52158968721899379</v>
      </c>
      <c r="P23" s="20">
        <f t="shared" si="3"/>
        <v>0</v>
      </c>
      <c r="R23" s="2">
        <f t="shared" si="4"/>
        <v>4.3026527297494637</v>
      </c>
      <c r="S23" s="2" t="e">
        <f>Q23*R23/SQRT(COUNT(E23:G23))</f>
        <v>#DIV/0!</v>
      </c>
      <c r="T23" s="2">
        <v>0.2</v>
      </c>
      <c r="U23" s="2" t="e">
        <f t="shared" si="5"/>
        <v>#DIV/0!</v>
      </c>
      <c r="V23" s="2" t="e">
        <f>I23*(U23/H23)</f>
        <v>#DIV/0!</v>
      </c>
      <c r="W23" s="2">
        <v>0</v>
      </c>
      <c r="X23" s="2">
        <v>0.01</v>
      </c>
      <c r="Y23" s="2">
        <f t="shared" si="6"/>
        <v>0.01</v>
      </c>
      <c r="Z23" s="2">
        <f>J23*Y23</f>
        <v>0.12394593059717805</v>
      </c>
      <c r="AA23" s="19" t="e">
        <f>SQRT(Z23^2+(16*I23/(PI()^2*$B$6^4*9.81)*(1-($B$6/$B$5)^(4))*V23)^2)</f>
        <v>#DIV/0!</v>
      </c>
      <c r="AB23" s="2">
        <v>0</v>
      </c>
      <c r="AC23" s="2" t="e">
        <f>N23*V23/I23</f>
        <v>#DIV/0!</v>
      </c>
      <c r="AD23" s="2" t="e">
        <f t="shared" si="7"/>
        <v>#DIV/0!</v>
      </c>
      <c r="AE23" s="2" t="e">
        <f t="shared" si="8"/>
        <v>#DIV/0!</v>
      </c>
    </row>
    <row r="24" spans="1:31" x14ac:dyDescent="0.25">
      <c r="A24" s="1" t="s">
        <v>11</v>
      </c>
      <c r="B24" s="3">
        <v>3600</v>
      </c>
      <c r="C24" s="15">
        <v>2.44</v>
      </c>
      <c r="D24" s="15">
        <v>26.5</v>
      </c>
      <c r="E24" s="15">
        <v>14.13</v>
      </c>
      <c r="F24" s="15">
        <v>13.93</v>
      </c>
      <c r="G24" s="15">
        <v>14.06</v>
      </c>
      <c r="H24" s="15">
        <f t="shared" si="0"/>
        <v>14.040000000000001</v>
      </c>
      <c r="I24" s="17">
        <f t="shared" si="1"/>
        <v>6.4743803847010263E-3</v>
      </c>
      <c r="J24" s="15">
        <f t="shared" si="9"/>
        <v>8.5917065527589305</v>
      </c>
      <c r="K24" s="22"/>
      <c r="L24" s="15">
        <f>J24+8*I24^2/(PI()^2*$B$6^4*9.81)*(1-($B$6/$B$5)^4)</f>
        <v>9.7153171799099631</v>
      </c>
      <c r="M24" s="14">
        <f>$B$7/2*2*PI()/60*B24</f>
        <v>20.357520395261858</v>
      </c>
      <c r="N24" s="14">
        <f>I24/($B$8*(2*PI()*$B$7/2-$B$10*$B$9))</f>
        <v>2.4238375102179481</v>
      </c>
      <c r="O24" s="12">
        <f t="shared" si="2"/>
        <v>0.229972673478405</v>
      </c>
      <c r="P24" s="20">
        <f t="shared" si="3"/>
        <v>0.1190634941366478</v>
      </c>
      <c r="Q24" s="2">
        <f>_xlfn.STDEV.S(E24:G24)</f>
        <v>0.10148891565092275</v>
      </c>
      <c r="R24" s="2">
        <f t="shared" si="4"/>
        <v>4.3026527297494637</v>
      </c>
      <c r="S24" s="2">
        <f>Q24*R24/SQRT(COUNT(E24:G24))</f>
        <v>0.25211244269310562</v>
      </c>
      <c r="T24" s="2">
        <v>0.2</v>
      </c>
      <c r="U24" s="2">
        <f t="shared" si="5"/>
        <v>0.321808458186985</v>
      </c>
      <c r="V24" s="2">
        <f>I24*(U24/H24)</f>
        <v>1.4839817445275611E-4</v>
      </c>
      <c r="W24" s="2">
        <v>0</v>
      </c>
      <c r="X24" s="2">
        <v>0.01</v>
      </c>
      <c r="Y24" s="2">
        <f t="shared" si="6"/>
        <v>0.01</v>
      </c>
      <c r="Z24" s="2">
        <f>J24*Y24</f>
        <v>8.5917065527589306E-2</v>
      </c>
      <c r="AA24" s="19">
        <f>SQRT(Z24^2+(16*I24/(PI()^2*$B$6^4*9.81)*(1-($B$6/$B$5)^(4))*V24)^2)</f>
        <v>0.10017402088967195</v>
      </c>
      <c r="AB24" s="2">
        <v>0</v>
      </c>
      <c r="AC24" s="2">
        <f>N24*V24/I24</f>
        <v>5.5556368380271962E-2</v>
      </c>
      <c r="AD24" s="2">
        <f t="shared" si="7"/>
        <v>2.3712336890778637E-3</v>
      </c>
      <c r="AE24" s="2">
        <f t="shared" si="8"/>
        <v>2.729034150603259E-3</v>
      </c>
    </row>
    <row r="25" spans="1:31" x14ac:dyDescent="0.25">
      <c r="A25" s="1" t="s">
        <v>12</v>
      </c>
      <c r="B25" s="3">
        <v>3600</v>
      </c>
      <c r="C25" s="15">
        <v>2.89</v>
      </c>
      <c r="D25" s="15">
        <v>26.5</v>
      </c>
      <c r="E25" s="15">
        <v>15.04</v>
      </c>
      <c r="F25" s="15">
        <v>14.35</v>
      </c>
      <c r="G25" s="15">
        <v>14.31</v>
      </c>
      <c r="H25" s="15">
        <f t="shared" si="0"/>
        <v>14.566666666666668</v>
      </c>
      <c r="I25" s="17">
        <f t="shared" si="1"/>
        <v>6.2402952357804853E-3</v>
      </c>
      <c r="J25" s="16">
        <f t="shared" si="9"/>
        <v>10.17624259732513</v>
      </c>
      <c r="K25" s="22"/>
      <c r="L25" s="16">
        <f>J25+8*I25^2/(PI()^2*$B$6^4*9.81)*(1-($B$6/$B$5)^4)</f>
        <v>11.220072392427547</v>
      </c>
      <c r="M25" s="14">
        <f>$B$7/2*2*PI()/60*B25</f>
        <v>20.357520395261858</v>
      </c>
      <c r="N25" s="14">
        <f>I25/($B$8*(2*PI()*$B$7/2-$B$10*$B$9))</f>
        <v>2.336202195203203</v>
      </c>
      <c r="O25" s="12">
        <f t="shared" si="2"/>
        <v>0.2655919510320835</v>
      </c>
      <c r="P25" s="20">
        <f t="shared" si="3"/>
        <v>0.11475868130516259</v>
      </c>
      <c r="Q25" s="2">
        <f>_xlfn.STDEV.S(E25:G25)</f>
        <v>0.41040630274562412</v>
      </c>
      <c r="R25" s="2">
        <f t="shared" si="4"/>
        <v>4.3026527297494637</v>
      </c>
      <c r="S25" s="2">
        <f>Q25*R25/SQRT(COUNT(E25:G25))</f>
        <v>1.0195057737904283</v>
      </c>
      <c r="T25" s="2">
        <v>0.2</v>
      </c>
      <c r="U25" s="2">
        <f t="shared" si="5"/>
        <v>1.0389379301921842</v>
      </c>
      <c r="V25" s="2">
        <f>I25*(U25/H25)</f>
        <v>4.4507639011784382E-4</v>
      </c>
      <c r="W25" s="2">
        <v>0</v>
      </c>
      <c r="X25" s="2">
        <v>0.01</v>
      </c>
      <c r="Y25" s="2">
        <f t="shared" si="6"/>
        <v>0.01</v>
      </c>
      <c r="Z25" s="2">
        <f>J25*Y25</f>
        <v>0.1017624259732513</v>
      </c>
      <c r="AA25" s="19">
        <f>SQRT(Z25^2+(16*I25/(PI()^2*$B$6^4*9.81)*(1-($B$6/$B$5)^(4))*V25)^2)</f>
        <v>0.18035029881227241</v>
      </c>
      <c r="AB25" s="2">
        <v>0</v>
      </c>
      <c r="AC25" s="2">
        <f>N25*V25/I25</f>
        <v>0.16662487916669469</v>
      </c>
      <c r="AD25" s="2">
        <f t="shared" si="7"/>
        <v>4.2690979216050539E-3</v>
      </c>
      <c r="AE25" s="2">
        <f t="shared" si="8"/>
        <v>8.1849299881077871E-3</v>
      </c>
    </row>
    <row r="26" spans="1:31" x14ac:dyDescent="0.25">
      <c r="A26" s="1" t="s">
        <v>13</v>
      </c>
      <c r="B26" s="3">
        <v>3600</v>
      </c>
      <c r="C26" s="15">
        <v>5.85</v>
      </c>
      <c r="D26" s="15">
        <v>20</v>
      </c>
      <c r="E26" s="15">
        <v>37.01</v>
      </c>
      <c r="F26" s="15">
        <v>37.04</v>
      </c>
      <c r="G26" s="15">
        <v>37.07</v>
      </c>
      <c r="H26" s="15">
        <f t="shared" si="0"/>
        <v>37.04</v>
      </c>
      <c r="I26" s="17">
        <f t="shared" si="1"/>
        <v>2.454111787289482E-3</v>
      </c>
      <c r="J26" s="16">
        <f t="shared" si="9"/>
        <v>20.598968579360555</v>
      </c>
      <c r="K26" s="22"/>
      <c r="L26" s="16">
        <f>J26+8*I26^2/(PI()^2*$B$6^4*9.81)*(1-($B$6/$B$5)^4)</f>
        <v>20.76040744514296</v>
      </c>
      <c r="M26" s="14">
        <f>$B$7/2*2*PI()/60*B26</f>
        <v>20.357520395261858</v>
      </c>
      <c r="N26" s="14">
        <f>I26/($B$8*(2*PI()*$B$7/2-$B$10*$B$9))</f>
        <v>0.91875482298758082</v>
      </c>
      <c r="O26" s="12">
        <f t="shared" si="2"/>
        <v>0.49142259735309596</v>
      </c>
      <c r="P26" s="20">
        <f t="shared" si="3"/>
        <v>4.5130978879010131E-2</v>
      </c>
      <c r="Q26" s="2">
        <f>_xlfn.STDEV.S(E26:G26)</f>
        <v>3.0000000000001137E-2</v>
      </c>
      <c r="R26" s="2">
        <f t="shared" si="4"/>
        <v>4.3026527297494637</v>
      </c>
      <c r="S26" s="2">
        <f>Q26*R26/SQRT(COUNT(E26:G26))</f>
        <v>7.4524131352512762E-2</v>
      </c>
      <c r="T26" s="2">
        <v>0.2</v>
      </c>
      <c r="U26" s="2">
        <f t="shared" si="5"/>
        <v>0.21343347008809696</v>
      </c>
      <c r="V26" s="2">
        <f>I26*(U26/H26)</f>
        <v>1.414118776310194E-5</v>
      </c>
      <c r="W26" s="2">
        <v>0</v>
      </c>
      <c r="X26" s="2">
        <v>0.01</v>
      </c>
      <c r="Y26" s="2">
        <f t="shared" si="6"/>
        <v>0.01</v>
      </c>
      <c r="Z26" s="2">
        <f>J26*Y26</f>
        <v>0.20598968579360555</v>
      </c>
      <c r="AA26" s="19">
        <f>SQRT(Z26^2+(16*I26/(PI()^2*$B$6^4*9.81)*(1-($B$6/$B$5)^(4))*V26)^2)</f>
        <v>0.20599808764418687</v>
      </c>
      <c r="AB26" s="2">
        <v>0</v>
      </c>
      <c r="AC26" s="2">
        <f>N26*V26/I26</f>
        <v>5.2940882837584947E-3</v>
      </c>
      <c r="AD26" s="2">
        <f t="shared" si="7"/>
        <v>4.8762104283054889E-3</v>
      </c>
      <c r="AE26" s="2">
        <f t="shared" si="8"/>
        <v>2.6005565417439914E-4</v>
      </c>
    </row>
    <row r="27" spans="1:31" x14ac:dyDescent="0.25">
      <c r="A27" s="1" t="s">
        <v>14</v>
      </c>
      <c r="B27" s="3">
        <v>3600</v>
      </c>
      <c r="C27" s="15">
        <v>6.18</v>
      </c>
      <c r="D27" s="15">
        <v>13</v>
      </c>
      <c r="E27" s="3" t="s">
        <v>15</v>
      </c>
      <c r="F27" s="3" t="s">
        <v>15</v>
      </c>
      <c r="G27" s="3" t="s">
        <v>15</v>
      </c>
      <c r="H27" s="3" t="s">
        <v>15</v>
      </c>
      <c r="I27" s="3"/>
      <c r="J27" s="16">
        <f t="shared" si="9"/>
        <v>21.760961678709098</v>
      </c>
      <c r="K27" s="22"/>
      <c r="L27" s="16">
        <f>J27+8*I27^2/(PI()^2*$B$6^4*9.81)*(1-($B$6/$B$5)^4)</f>
        <v>21.760961678709098</v>
      </c>
      <c r="M27" s="14">
        <f>$B$7/2*2*PI()/60*B27</f>
        <v>20.357520395261858</v>
      </c>
      <c r="N27" s="14">
        <f>I27/($B$8*(2*PI()*$B$7/2-$B$10*$B$9))</f>
        <v>0</v>
      </c>
      <c r="O27" s="12">
        <f t="shared" si="2"/>
        <v>0.51510686085085999</v>
      </c>
      <c r="P27" s="20">
        <f t="shared" si="3"/>
        <v>0</v>
      </c>
      <c r="Q27" s="2" t="e">
        <f>_xlfn.STDEV.S(E27:G27)</f>
        <v>#DIV/0!</v>
      </c>
      <c r="R27" s="2">
        <f t="shared" si="4"/>
        <v>4.3026527297494637</v>
      </c>
      <c r="S27" s="2" t="e">
        <f>Q27*R27/SQRT(COUNT(E27:G27))</f>
        <v>#DIV/0!</v>
      </c>
      <c r="T27" s="2">
        <v>0.2</v>
      </c>
      <c r="U27" s="2" t="e">
        <f t="shared" si="5"/>
        <v>#DIV/0!</v>
      </c>
      <c r="V27" s="2" t="e">
        <f>I27*(U27/H27)</f>
        <v>#DIV/0!</v>
      </c>
      <c r="W27" s="2">
        <v>0</v>
      </c>
      <c r="X27" s="2">
        <v>0.01</v>
      </c>
      <c r="Y27" s="2">
        <f t="shared" si="6"/>
        <v>0.01</v>
      </c>
      <c r="Z27" s="2">
        <f>J27*Y27</f>
        <v>0.21760961678709098</v>
      </c>
      <c r="AA27" s="19" t="e">
        <f>SQRT(Z27^2+(16*I27/(PI()^2*$B$6^4*9.81)*(1-($B$6/$B$5)^(4))*V27)^2)</f>
        <v>#DIV/0!</v>
      </c>
      <c r="AB27" s="2">
        <v>0</v>
      </c>
      <c r="AC27" s="2" t="e">
        <f>N27*V27/I27</f>
        <v>#DIV/0!</v>
      </c>
      <c r="AD27" s="2" t="e">
        <f t="shared" si="7"/>
        <v>#DIV/0!</v>
      </c>
      <c r="AE27" s="2" t="e">
        <f t="shared" si="8"/>
        <v>#DIV/0!</v>
      </c>
    </row>
    <row r="28" spans="1:31" x14ac:dyDescent="0.25">
      <c r="A28" s="1" t="s">
        <v>44</v>
      </c>
      <c r="B28" s="3">
        <v>1800</v>
      </c>
      <c r="C28" s="9"/>
      <c r="D28" s="9"/>
      <c r="E28" s="9"/>
      <c r="F28" s="9"/>
      <c r="G28" s="9"/>
      <c r="H28" s="9"/>
      <c r="I28" s="21">
        <v>4.0000000000000001E-3</v>
      </c>
      <c r="J28" s="8"/>
      <c r="K28" s="22"/>
      <c r="L28" s="15">
        <v>2.58</v>
      </c>
      <c r="M28" s="14">
        <f>$B$7/2*2*PI()/60*B28</f>
        <v>10.178760197630929</v>
      </c>
      <c r="N28" s="14">
        <f>I28/($B$8*(2*PI()*$B$7/2-$B$10*$B$9))</f>
        <v>1.4974946581424107</v>
      </c>
      <c r="O28" s="12">
        <f>S44*9.81/M28^2</f>
        <v>0.24428620768088338</v>
      </c>
      <c r="P28" s="20">
        <f t="shared" si="3"/>
        <v>0.14711955376362509</v>
      </c>
      <c r="Q28" s="2" t="e">
        <f>_xlfn.STDEV.S(E28:G28)</f>
        <v>#DIV/0!</v>
      </c>
      <c r="R28" s="2">
        <f t="shared" si="4"/>
        <v>4.3026527297494637</v>
      </c>
      <c r="S28" s="2" t="e">
        <f>Q28*R28/SQRT(COUNT(E28:G28))</f>
        <v>#DIV/0!</v>
      </c>
      <c r="T28" s="2">
        <v>0.2</v>
      </c>
      <c r="U28" s="2" t="e">
        <f t="shared" si="5"/>
        <v>#DIV/0!</v>
      </c>
      <c r="V28" s="2" t="e">
        <f>I28*(U28/H28)</f>
        <v>#DIV/0!</v>
      </c>
      <c r="W28" s="2">
        <v>0</v>
      </c>
      <c r="X28" s="2">
        <v>0.01</v>
      </c>
      <c r="Y28" s="2">
        <f t="shared" si="6"/>
        <v>0.01</v>
      </c>
      <c r="Z28" s="2">
        <f>J28*Y28</f>
        <v>0</v>
      </c>
      <c r="AA28" s="19" t="e">
        <f>SQRT(Z28^2+(16*I28/(PI()^2*$B$6^4*9.81)*(1-($B$6/$B$5)^(4))*V28)^2)</f>
        <v>#DIV/0!</v>
      </c>
      <c r="AB28" s="2">
        <v>0</v>
      </c>
      <c r="AC28" s="2" t="e">
        <f>N28*V28/I28</f>
        <v>#DIV/0!</v>
      </c>
      <c r="AD28" s="2" t="e">
        <f>O28*AA28/S44</f>
        <v>#DIV/0!</v>
      </c>
      <c r="AE28" s="2" t="e">
        <f t="shared" si="8"/>
        <v>#DIV/0!</v>
      </c>
    </row>
    <row r="29" spans="1:31" x14ac:dyDescent="0.25">
      <c r="A29" s="1" t="s">
        <v>44</v>
      </c>
      <c r="B29" s="3">
        <v>1800</v>
      </c>
      <c r="C29" s="9"/>
      <c r="D29" s="9"/>
      <c r="E29" s="9"/>
      <c r="F29" s="9"/>
      <c r="G29" s="9"/>
      <c r="H29" s="9"/>
      <c r="I29" s="21">
        <v>3.3E-3</v>
      </c>
      <c r="J29" s="8"/>
      <c r="K29" s="22"/>
      <c r="L29" s="15">
        <v>4.1399999999999997</v>
      </c>
      <c r="M29" s="14">
        <f>$B$7/2*2*PI()/60*B29</f>
        <v>10.178760197630929</v>
      </c>
      <c r="N29" s="14">
        <f>I29/($B$8*(2*PI()*$B$7/2-$B$10*$B$9))</f>
        <v>1.2354330929674888</v>
      </c>
      <c r="O29" s="12">
        <f>S45*9.81/M29^2</f>
        <v>0.39199414720885933</v>
      </c>
      <c r="P29" s="20">
        <f t="shared" si="3"/>
        <v>0.12137363185499071</v>
      </c>
      <c r="Q29" s="2" t="e">
        <f>_xlfn.STDEV.S(E29:G29)</f>
        <v>#DIV/0!</v>
      </c>
      <c r="R29" s="2">
        <f t="shared" si="4"/>
        <v>4.3026527297494637</v>
      </c>
      <c r="S29" s="2" t="e">
        <f>Q29*R29/SQRT(COUNT(E29:G29))</f>
        <v>#DIV/0!</v>
      </c>
      <c r="T29" s="2">
        <v>0.2</v>
      </c>
      <c r="U29" s="2" t="e">
        <f t="shared" si="5"/>
        <v>#DIV/0!</v>
      </c>
      <c r="V29" s="2" t="e">
        <f>I29*(U29/H29)</f>
        <v>#DIV/0!</v>
      </c>
      <c r="W29" s="2">
        <v>0</v>
      </c>
      <c r="X29" s="2">
        <v>0.01</v>
      </c>
      <c r="Y29" s="2">
        <f t="shared" si="6"/>
        <v>0.01</v>
      </c>
      <c r="Z29" s="2">
        <f>J29*Y29</f>
        <v>0</v>
      </c>
      <c r="AA29" s="19" t="e">
        <f>SQRT(Z29^2+(16*I29/(PI()^2*$B$6^4*9.81)*(1-($B$6/$B$5)^(4))*V29)^2)</f>
        <v>#DIV/0!</v>
      </c>
      <c r="AB29" s="2">
        <v>0</v>
      </c>
      <c r="AC29" s="2" t="e">
        <f>N29*V29/I29</f>
        <v>#DIV/0!</v>
      </c>
      <c r="AD29" s="2" t="e">
        <f>O29*AA29/S45</f>
        <v>#DIV/0!</v>
      </c>
      <c r="AE29" s="2" t="e">
        <f t="shared" si="8"/>
        <v>#DIV/0!</v>
      </c>
    </row>
    <row r="30" spans="1:31" x14ac:dyDescent="0.25">
      <c r="A30" s="1" t="s">
        <v>44</v>
      </c>
      <c r="B30" s="3">
        <v>1800</v>
      </c>
      <c r="C30" s="9"/>
      <c r="D30" s="9"/>
      <c r="E30" s="9"/>
      <c r="F30" s="9"/>
      <c r="G30" s="9"/>
      <c r="H30" s="9"/>
      <c r="I30" s="21">
        <v>2.5999999999999999E-3</v>
      </c>
      <c r="J30" s="8"/>
      <c r="K30" s="22"/>
      <c r="L30" s="15">
        <v>4.96</v>
      </c>
      <c r="M30" s="14">
        <f>$B$7/2*2*PI()/60*B30</f>
        <v>10.178760197630929</v>
      </c>
      <c r="N30" s="14">
        <f>I30/($B$8*(2*PI()*$B$7/2-$B$10*$B$9))</f>
        <v>0.97337152779256686</v>
      </c>
      <c r="O30" s="12">
        <f>S46*9.81/M30^2</f>
        <v>0.46963550003766724</v>
      </c>
      <c r="P30" s="20">
        <f t="shared" si="3"/>
        <v>9.5627709946356304E-2</v>
      </c>
      <c r="Q30" s="2" t="e">
        <f>_xlfn.STDEV.S(E30:G30)</f>
        <v>#DIV/0!</v>
      </c>
      <c r="R30" s="2">
        <f t="shared" si="4"/>
        <v>4.3026527297494637</v>
      </c>
      <c r="S30" s="2" t="e">
        <f>Q30*R30/SQRT(COUNT(E30:G30))</f>
        <v>#DIV/0!</v>
      </c>
      <c r="T30" s="2">
        <v>0.2</v>
      </c>
      <c r="U30" s="2" t="e">
        <f t="shared" si="5"/>
        <v>#DIV/0!</v>
      </c>
      <c r="V30" s="2" t="e">
        <f>I30*(U30/H30)</f>
        <v>#DIV/0!</v>
      </c>
      <c r="W30" s="2">
        <v>0</v>
      </c>
      <c r="X30" s="2">
        <v>0.01</v>
      </c>
      <c r="Y30" s="2">
        <f t="shared" si="6"/>
        <v>0.01</v>
      </c>
      <c r="Z30" s="2">
        <f>J30*Y30</f>
        <v>0</v>
      </c>
      <c r="AA30" s="19" t="e">
        <f>SQRT(Z30^2+(16*I30/(PI()^2*$B$6^4*9.81)*(1-($B$6/$B$5)^(4))*V30)^2)</f>
        <v>#DIV/0!</v>
      </c>
      <c r="AB30" s="2">
        <v>0</v>
      </c>
      <c r="AC30" s="2" t="e">
        <f>N30*V30/I30</f>
        <v>#DIV/0!</v>
      </c>
      <c r="AD30" s="2" t="e">
        <f>O30*AA30/S46</f>
        <v>#DIV/0!</v>
      </c>
      <c r="AE30" s="2" t="e">
        <f t="shared" si="8"/>
        <v>#DIV/0!</v>
      </c>
    </row>
    <row r="31" spans="1:31" x14ac:dyDescent="0.25">
      <c r="A31" s="1" t="s">
        <v>44</v>
      </c>
      <c r="B31" s="3">
        <v>1800</v>
      </c>
      <c r="C31" s="9"/>
      <c r="D31" s="9"/>
      <c r="E31" s="9"/>
      <c r="F31" s="9"/>
      <c r="G31" s="9"/>
      <c r="H31" s="9"/>
      <c r="I31" s="21">
        <v>2E-3</v>
      </c>
      <c r="J31" s="8"/>
      <c r="K31" s="22"/>
      <c r="L31" s="15">
        <v>5.4</v>
      </c>
      <c r="M31" s="14">
        <f>$B$7/2*2*PI()/60*B31</f>
        <v>10.178760197630929</v>
      </c>
      <c r="N31" s="13">
        <f>I31/($B$8*(2*PI()*$B$7/2-$B$10*$B$9))</f>
        <v>0.74874732907120534</v>
      </c>
      <c r="O31" s="12">
        <f>S47*9.81/M31^2</f>
        <v>0.51129671375068619</v>
      </c>
      <c r="P31" s="20">
        <f t="shared" si="3"/>
        <v>7.3559776881812547E-2</v>
      </c>
      <c r="Q31" s="2" t="e">
        <f>_xlfn.STDEV.S(E31:G31)</f>
        <v>#DIV/0!</v>
      </c>
      <c r="R31" s="2">
        <f t="shared" si="4"/>
        <v>4.3026527297494637</v>
      </c>
      <c r="S31" s="2" t="e">
        <f>Q31*R31/SQRT(COUNT(E31:G31))</f>
        <v>#DIV/0!</v>
      </c>
      <c r="T31" s="2">
        <v>0.2</v>
      </c>
      <c r="U31" s="2" t="e">
        <f t="shared" si="5"/>
        <v>#DIV/0!</v>
      </c>
      <c r="V31" s="2" t="e">
        <f>I31*(U31/H31)</f>
        <v>#DIV/0!</v>
      </c>
      <c r="W31" s="2">
        <v>0</v>
      </c>
      <c r="X31" s="2">
        <v>0.01</v>
      </c>
      <c r="Y31" s="2">
        <f t="shared" si="6"/>
        <v>0.01</v>
      </c>
      <c r="Z31" s="2">
        <f>J31*Y31</f>
        <v>0</v>
      </c>
      <c r="AA31" s="19" t="e">
        <f>SQRT(Z31^2+(16*I31/(PI()^2*$B$6^4*9.81)*(1-($B$6/$B$5)^(4))*V31)^2)</f>
        <v>#DIV/0!</v>
      </c>
      <c r="AB31" s="2">
        <v>0</v>
      </c>
      <c r="AC31" s="2" t="e">
        <f>N31*V31/I31</f>
        <v>#DIV/0!</v>
      </c>
      <c r="AD31" s="2" t="e">
        <f>O31*AA31/S47</f>
        <v>#DIV/0!</v>
      </c>
      <c r="AE31" s="2" t="e">
        <f t="shared" si="8"/>
        <v>#DIV/0!</v>
      </c>
    </row>
    <row r="32" spans="1:31" x14ac:dyDescent="0.25">
      <c r="A32" s="1" t="s">
        <v>44</v>
      </c>
      <c r="B32" s="3">
        <v>2700</v>
      </c>
      <c r="C32" s="9"/>
      <c r="D32" s="9"/>
      <c r="E32" s="9"/>
      <c r="F32" s="9"/>
      <c r="G32" s="9"/>
      <c r="H32" s="9"/>
      <c r="I32" s="21">
        <v>6.0000000000000001E-3</v>
      </c>
      <c r="J32" s="8"/>
      <c r="K32" s="22"/>
      <c r="L32" s="15">
        <v>5.77</v>
      </c>
      <c r="M32" s="14">
        <f>$B$7/2*2*PI()/60*B32</f>
        <v>15.268140296446393</v>
      </c>
      <c r="N32" s="14">
        <f>I32/($B$8*(2*PI()*$B$7/2-$B$10*$B$9))</f>
        <v>2.2462419872136161</v>
      </c>
      <c r="O32" s="12">
        <f>S48*9.81/M32^2</f>
        <v>0.24281333648900894</v>
      </c>
      <c r="P32" s="20">
        <f t="shared" si="3"/>
        <v>0.14711955376362509</v>
      </c>
      <c r="Q32" s="2" t="e">
        <f>_xlfn.STDEV.S(E32:G32)</f>
        <v>#DIV/0!</v>
      </c>
      <c r="R32" s="2">
        <f t="shared" si="4"/>
        <v>4.3026527297494637</v>
      </c>
      <c r="S32" s="2" t="e">
        <f>Q32*R32/SQRT(COUNT(E32:G32))</f>
        <v>#DIV/0!</v>
      </c>
      <c r="T32" s="2">
        <v>0.2</v>
      </c>
      <c r="U32" s="2" t="e">
        <f t="shared" si="5"/>
        <v>#DIV/0!</v>
      </c>
      <c r="V32" s="2" t="e">
        <f>I32*(U32/H32)</f>
        <v>#DIV/0!</v>
      </c>
      <c r="W32" s="2">
        <v>0</v>
      </c>
      <c r="X32" s="2">
        <v>0.01</v>
      </c>
      <c r="Y32" s="2">
        <f t="shared" si="6"/>
        <v>0.01</v>
      </c>
      <c r="Z32" s="2">
        <f>J32*Y32</f>
        <v>0</v>
      </c>
      <c r="AA32" s="19" t="e">
        <f>SQRT(Z32^2+(16*I32/(PI()^2*$B$6^4*9.81)*(1-($B$6/$B$5)^(4))*V32)^2)</f>
        <v>#DIV/0!</v>
      </c>
      <c r="AB32" s="2">
        <v>0</v>
      </c>
      <c r="AC32" s="2" t="e">
        <f>N32*V32/I32</f>
        <v>#DIV/0!</v>
      </c>
      <c r="AD32" s="2" t="e">
        <f>O32*AA32/S48</f>
        <v>#DIV/0!</v>
      </c>
      <c r="AE32" s="2" t="e">
        <f t="shared" si="8"/>
        <v>#DIV/0!</v>
      </c>
    </row>
    <row r="33" spans="1:31" x14ac:dyDescent="0.25">
      <c r="A33" s="1" t="s">
        <v>44</v>
      </c>
      <c r="B33" s="3">
        <v>2700</v>
      </c>
      <c r="C33" s="9"/>
      <c r="D33" s="9"/>
      <c r="E33" s="9"/>
      <c r="F33" s="9"/>
      <c r="G33" s="9"/>
      <c r="H33" s="9"/>
      <c r="I33" s="21">
        <v>5.0000000000000001E-3</v>
      </c>
      <c r="J33" s="8"/>
      <c r="K33" s="22"/>
      <c r="L33" s="15">
        <v>9.1199999999999992</v>
      </c>
      <c r="M33" s="14">
        <f>$B$7/2*2*PI()/60*B33</f>
        <v>15.268140296446393</v>
      </c>
      <c r="N33" s="14">
        <f>I33/($B$8*(2*PI()*$B$7/2-$B$10*$B$9))</f>
        <v>1.8718683226780133</v>
      </c>
      <c r="O33" s="12">
        <f>S49*9.81/M33^2</f>
        <v>0.3837881505684162</v>
      </c>
      <c r="P33" s="20">
        <f t="shared" ref="P33:P41" si="10">N33/M33</f>
        <v>0.12259962813635425</v>
      </c>
      <c r="Q33" s="2" t="e">
        <f>_xlfn.STDEV.S(E33:G33)</f>
        <v>#DIV/0!</v>
      </c>
      <c r="R33" s="2">
        <f t="shared" si="4"/>
        <v>4.3026527297494637</v>
      </c>
      <c r="S33" s="2" t="e">
        <f>Q33*R33/SQRT(COUNT(E33:G33))</f>
        <v>#DIV/0!</v>
      </c>
      <c r="T33" s="2">
        <v>0.2</v>
      </c>
      <c r="U33" s="2" t="e">
        <f t="shared" si="5"/>
        <v>#DIV/0!</v>
      </c>
      <c r="V33" s="2" t="e">
        <f>I33*(U33/H33)</f>
        <v>#DIV/0!</v>
      </c>
      <c r="W33" s="2">
        <v>0</v>
      </c>
      <c r="X33" s="2">
        <v>0.01</v>
      </c>
      <c r="Y33" s="2">
        <f t="shared" si="6"/>
        <v>0.01</v>
      </c>
      <c r="Z33" s="2">
        <f>J33*Y33</f>
        <v>0</v>
      </c>
      <c r="AA33" s="19" t="e">
        <f>SQRT(Z33^2+(16*I33/(PI()^2*$B$6^4*9.81)*(1-($B$6/$B$5)^(4))*V33)^2)</f>
        <v>#DIV/0!</v>
      </c>
      <c r="AB33" s="2">
        <v>0</v>
      </c>
      <c r="AC33" s="2" t="e">
        <f>N33*V33/I33</f>
        <v>#DIV/0!</v>
      </c>
      <c r="AD33" s="2" t="e">
        <f>O33*AA33/S49</f>
        <v>#DIV/0!</v>
      </c>
      <c r="AE33" s="2" t="e">
        <f t="shared" si="8"/>
        <v>#DIV/0!</v>
      </c>
    </row>
    <row r="34" spans="1:31" x14ac:dyDescent="0.25">
      <c r="A34" s="1" t="s">
        <v>44</v>
      </c>
      <c r="B34" s="3">
        <v>2700</v>
      </c>
      <c r="C34" s="9"/>
      <c r="D34" s="9"/>
      <c r="E34" s="9"/>
      <c r="F34" s="9"/>
      <c r="G34" s="9"/>
      <c r="H34" s="9"/>
      <c r="I34" s="21">
        <v>4.0000000000000001E-3</v>
      </c>
      <c r="J34" s="8"/>
      <c r="K34" s="22"/>
      <c r="L34" s="16">
        <v>11</v>
      </c>
      <c r="M34" s="14">
        <f>$B$7/2*2*PI()/60*B34</f>
        <v>15.268140296446393</v>
      </c>
      <c r="N34" s="14">
        <f>I34/($B$8*(2*PI()*$B$7/2-$B$10*$B$9))</f>
        <v>1.4974946581424107</v>
      </c>
      <c r="O34" s="12">
        <f>S50*9.81/M34^2</f>
        <v>0.46290237458909855</v>
      </c>
      <c r="P34" s="20">
        <f t="shared" si="10"/>
        <v>9.8079702509083391E-2</v>
      </c>
      <c r="Q34" s="2" t="e">
        <f>_xlfn.STDEV.S(E34:G34)</f>
        <v>#DIV/0!</v>
      </c>
      <c r="R34" s="2">
        <f t="shared" si="4"/>
        <v>4.3026527297494637</v>
      </c>
      <c r="S34" s="2" t="e">
        <f>Q34*R34/SQRT(COUNT(E34:G34))</f>
        <v>#DIV/0!</v>
      </c>
      <c r="T34" s="2">
        <v>0.2</v>
      </c>
      <c r="U34" s="2" t="e">
        <f t="shared" si="5"/>
        <v>#DIV/0!</v>
      </c>
      <c r="V34" s="2" t="e">
        <f>I34*(U34/H34)</f>
        <v>#DIV/0!</v>
      </c>
      <c r="W34" s="2">
        <v>0</v>
      </c>
      <c r="X34" s="2">
        <v>0.01</v>
      </c>
      <c r="Y34" s="2">
        <f t="shared" si="6"/>
        <v>0.01</v>
      </c>
      <c r="Z34" s="2">
        <f>J34*Y34</f>
        <v>0</v>
      </c>
      <c r="AA34" s="19" t="e">
        <f>SQRT(Z34^2+(16*I34/(PI()^2*$B$6^4*9.81)*(1-($B$6/$B$5)^(4))*V34)^2)</f>
        <v>#DIV/0!</v>
      </c>
      <c r="AB34" s="2">
        <v>0</v>
      </c>
      <c r="AC34" s="2" t="e">
        <f>N34*V34/I34</f>
        <v>#DIV/0!</v>
      </c>
      <c r="AD34" s="2" t="e">
        <f>O34*AA34/S50</f>
        <v>#DIV/0!</v>
      </c>
      <c r="AE34" s="2" t="e">
        <f t="shared" si="8"/>
        <v>#DIV/0!</v>
      </c>
    </row>
    <row r="35" spans="1:31" x14ac:dyDescent="0.25">
      <c r="A35" s="1" t="s">
        <v>44</v>
      </c>
      <c r="B35" s="3">
        <v>2700</v>
      </c>
      <c r="C35" s="9"/>
      <c r="D35" s="9"/>
      <c r="E35" s="9"/>
      <c r="F35" s="9"/>
      <c r="G35" s="9"/>
      <c r="H35" s="9"/>
      <c r="I35" s="21">
        <v>3.0000000000000001E-3</v>
      </c>
      <c r="J35" s="8"/>
      <c r="K35" s="22"/>
      <c r="L35" s="16">
        <v>12.1</v>
      </c>
      <c r="M35" s="14">
        <f>$B$7/2*2*PI()/60*B35</f>
        <v>15.268140296446393</v>
      </c>
      <c r="N35" s="14">
        <f>I35/($B$8*(2*PI()*$B$7/2-$B$10*$B$9))</f>
        <v>1.1231209936068081</v>
      </c>
      <c r="O35" s="12">
        <f>S51*9.81/M35^2</f>
        <v>0.50919261204800836</v>
      </c>
      <c r="P35" s="20">
        <f t="shared" si="10"/>
        <v>7.3559776881812547E-2</v>
      </c>
      <c r="Q35" s="2" t="e">
        <f>_xlfn.STDEV.S(E35:G35)</f>
        <v>#DIV/0!</v>
      </c>
      <c r="R35" s="2">
        <f t="shared" si="4"/>
        <v>4.3026527297494637</v>
      </c>
      <c r="S35" s="2" t="e">
        <f>Q35*R35/SQRT(COUNT(E35:G35))</f>
        <v>#DIV/0!</v>
      </c>
      <c r="T35" s="2">
        <v>0.2</v>
      </c>
      <c r="U35" s="2" t="e">
        <f t="shared" si="5"/>
        <v>#DIV/0!</v>
      </c>
      <c r="V35" s="2" t="e">
        <f>I35*(U35/H35)</f>
        <v>#DIV/0!</v>
      </c>
      <c r="W35" s="2">
        <v>0</v>
      </c>
      <c r="X35" s="2">
        <v>0.01</v>
      </c>
      <c r="Y35" s="2">
        <f t="shared" si="6"/>
        <v>0.01</v>
      </c>
      <c r="Z35" s="2">
        <f>J35*Y35</f>
        <v>0</v>
      </c>
      <c r="AA35" s="19" t="e">
        <f>SQRT(Z35^2+(16*I35/(PI()^2*$B$6^4*9.81)*(1-($B$6/$B$5)^(4))*V35)^2)</f>
        <v>#DIV/0!</v>
      </c>
      <c r="AB35" s="2">
        <v>0</v>
      </c>
      <c r="AC35" s="2" t="e">
        <f>N35*V35/I35</f>
        <v>#DIV/0!</v>
      </c>
      <c r="AD35" s="2" t="e">
        <f>O35*AA35/S51</f>
        <v>#DIV/0!</v>
      </c>
      <c r="AE35" s="2" t="e">
        <f t="shared" si="8"/>
        <v>#DIV/0!</v>
      </c>
    </row>
    <row r="36" spans="1:31" x14ac:dyDescent="0.25">
      <c r="A36" s="1" t="s">
        <v>44</v>
      </c>
      <c r="B36" s="3">
        <v>2700</v>
      </c>
      <c r="C36" s="9"/>
      <c r="D36" s="9"/>
      <c r="E36" s="9"/>
      <c r="F36" s="9"/>
      <c r="G36" s="9"/>
      <c r="H36" s="9"/>
      <c r="I36" s="21">
        <v>2E-3</v>
      </c>
      <c r="J36" s="8"/>
      <c r="K36" s="22"/>
      <c r="L36" s="16">
        <v>12.8</v>
      </c>
      <c r="M36" s="14">
        <f>$B$7/2*2*PI()/60*B36</f>
        <v>15.268140296446393</v>
      </c>
      <c r="N36" s="13">
        <f>I36/($B$8*(2*PI()*$B$7/2-$B$10*$B$9))</f>
        <v>0.74874732907120534</v>
      </c>
      <c r="O36" s="12">
        <f>S52*9.81/M36^2</f>
        <v>0.53865003588549654</v>
      </c>
      <c r="P36" s="20">
        <f t="shared" si="10"/>
        <v>4.9039851254541696E-2</v>
      </c>
      <c r="Q36" s="2" t="e">
        <f>_xlfn.STDEV.S(E36:G36)</f>
        <v>#DIV/0!</v>
      </c>
      <c r="R36" s="2">
        <f t="shared" si="4"/>
        <v>4.3026527297494637</v>
      </c>
      <c r="S36" s="2" t="e">
        <f>Q36*R36/SQRT(COUNT(E36:G36))</f>
        <v>#DIV/0!</v>
      </c>
      <c r="T36" s="2">
        <v>0.2</v>
      </c>
      <c r="U36" s="2" t="e">
        <f t="shared" si="5"/>
        <v>#DIV/0!</v>
      </c>
      <c r="V36" s="2" t="e">
        <f>I36*(U36/H36)</f>
        <v>#DIV/0!</v>
      </c>
      <c r="W36" s="2">
        <v>0</v>
      </c>
      <c r="X36" s="2">
        <v>0.01</v>
      </c>
      <c r="Y36" s="2">
        <f t="shared" si="6"/>
        <v>0.01</v>
      </c>
      <c r="Z36" s="2">
        <f>J36*Y36</f>
        <v>0</v>
      </c>
      <c r="AA36" s="19" t="e">
        <f>SQRT(Z36^2+(16*I36/(PI()^2*$B$6^4*9.81)*(1-($B$6/$B$5)^(4))*V36)^2)</f>
        <v>#DIV/0!</v>
      </c>
      <c r="AB36" s="2">
        <v>0</v>
      </c>
      <c r="AC36" s="2" t="e">
        <f>N36*V36/I36</f>
        <v>#DIV/0!</v>
      </c>
      <c r="AD36" s="2" t="e">
        <f>O36*AA36/S52</f>
        <v>#DIV/0!</v>
      </c>
      <c r="AE36" s="2" t="e">
        <f t="shared" si="8"/>
        <v>#DIV/0!</v>
      </c>
    </row>
    <row r="37" spans="1:31" x14ac:dyDescent="0.25">
      <c r="A37" s="1" t="s">
        <v>44</v>
      </c>
      <c r="B37" s="3">
        <v>3600</v>
      </c>
      <c r="C37" s="9"/>
      <c r="D37" s="9"/>
      <c r="E37" s="9"/>
      <c r="F37" s="9"/>
      <c r="G37" s="9"/>
      <c r="H37" s="9"/>
      <c r="I37" s="21">
        <v>8.0000000000000002E-3</v>
      </c>
      <c r="J37" s="8"/>
      <c r="K37" s="22"/>
      <c r="L37" s="16">
        <v>10.3</v>
      </c>
      <c r="M37" s="14">
        <f>$B$7/2*2*PI()/60*B37</f>
        <v>20.357520395261858</v>
      </c>
      <c r="N37" s="14">
        <f>I37/($B$8*(2*PI()*$B$7/2-$B$10*$B$9))</f>
        <v>2.9949893162848213</v>
      </c>
      <c r="O37" s="12">
        <f>S53*9.81/M37^2</f>
        <v>0.2438127847977809</v>
      </c>
      <c r="P37" s="20">
        <f t="shared" si="10"/>
        <v>0.14711955376362509</v>
      </c>
      <c r="Q37" s="2" t="e">
        <f>_xlfn.STDEV.S(E37:G37)</f>
        <v>#DIV/0!</v>
      </c>
      <c r="R37" s="2">
        <f t="shared" si="4"/>
        <v>4.3026527297494637</v>
      </c>
      <c r="S37" s="2" t="e">
        <f>Q37*R37/SQRT(COUNT(E37:G37))</f>
        <v>#DIV/0!</v>
      </c>
      <c r="T37" s="2">
        <v>0.2</v>
      </c>
      <c r="U37" s="2" t="e">
        <f t="shared" si="5"/>
        <v>#DIV/0!</v>
      </c>
      <c r="V37" s="2" t="e">
        <f>I37*(U37/H37)</f>
        <v>#DIV/0!</v>
      </c>
      <c r="W37" s="2">
        <v>0</v>
      </c>
      <c r="X37" s="2">
        <v>0.01</v>
      </c>
      <c r="Y37" s="2">
        <f t="shared" si="6"/>
        <v>0.01</v>
      </c>
      <c r="Z37" s="2">
        <f>J37*Y37</f>
        <v>0</v>
      </c>
      <c r="AA37" s="19" t="e">
        <f>SQRT(Z37^2+(16*I37/(PI()^2*$B$6^4*9.81)*(1-($B$6/$B$5)^(4))*V37)^2)</f>
        <v>#DIV/0!</v>
      </c>
      <c r="AB37" s="2">
        <v>0</v>
      </c>
      <c r="AC37" s="2" t="e">
        <f>N37*V37/I37</f>
        <v>#DIV/0!</v>
      </c>
      <c r="AD37" s="2" t="e">
        <f>O37*AA37/S53</f>
        <v>#DIV/0!</v>
      </c>
      <c r="AE37" s="2" t="e">
        <f t="shared" si="8"/>
        <v>#DIV/0!</v>
      </c>
    </row>
    <row r="38" spans="1:31" x14ac:dyDescent="0.25">
      <c r="A38" s="1" t="s">
        <v>44</v>
      </c>
      <c r="B38" s="3">
        <v>3600</v>
      </c>
      <c r="C38" s="9"/>
      <c r="D38" s="9"/>
      <c r="E38" s="9"/>
      <c r="F38" s="9"/>
      <c r="G38" s="9"/>
      <c r="H38" s="9"/>
      <c r="I38" s="21">
        <v>6.7000000000000002E-3</v>
      </c>
      <c r="J38" s="8"/>
      <c r="K38" s="22"/>
      <c r="L38" s="16">
        <v>16.100000000000001</v>
      </c>
      <c r="M38" s="14">
        <f>$B$7/2*2*PI()/60*B38</f>
        <v>20.357520395261858</v>
      </c>
      <c r="N38" s="14">
        <f>I38/($B$8*(2*PI()*$B$7/2-$B$10*$B$9))</f>
        <v>2.5083035523885377</v>
      </c>
      <c r="O38" s="12">
        <f>S54*9.81/M38^2</f>
        <v>0.38110542089750221</v>
      </c>
      <c r="P38" s="20">
        <f t="shared" si="10"/>
        <v>0.12321262627703601</v>
      </c>
      <c r="Q38" s="2" t="e">
        <f>_xlfn.STDEV.S(E38:G38)</f>
        <v>#DIV/0!</v>
      </c>
      <c r="R38" s="2">
        <f t="shared" si="4"/>
        <v>4.3026527297494637</v>
      </c>
      <c r="S38" s="2" t="e">
        <f>Q38*R38/SQRT(COUNT(E38:G38))</f>
        <v>#DIV/0!</v>
      </c>
      <c r="T38" s="2">
        <v>0.2</v>
      </c>
      <c r="U38" s="2" t="e">
        <f t="shared" si="5"/>
        <v>#DIV/0!</v>
      </c>
      <c r="V38" s="2" t="e">
        <f>I38*(U38/H38)</f>
        <v>#DIV/0!</v>
      </c>
      <c r="W38" s="2">
        <v>0</v>
      </c>
      <c r="X38" s="2">
        <v>0.01</v>
      </c>
      <c r="Y38" s="2">
        <f t="shared" si="6"/>
        <v>0.01</v>
      </c>
      <c r="Z38" s="2">
        <f>J38*Y38</f>
        <v>0</v>
      </c>
      <c r="AA38" s="19" t="e">
        <f>SQRT(Z38^2+(16*I38/(PI()^2*$B$6^4*9.81)*(1-($B$6/$B$5)^(4))*V38)^2)</f>
        <v>#DIV/0!</v>
      </c>
      <c r="AB38" s="2">
        <v>0</v>
      </c>
      <c r="AC38" s="2" t="e">
        <f>N38*V38/I38</f>
        <v>#DIV/0!</v>
      </c>
      <c r="AD38" s="2" t="e">
        <f>O38*AA38/S54</f>
        <v>#DIV/0!</v>
      </c>
      <c r="AE38" s="2" t="e">
        <f t="shared" si="8"/>
        <v>#DIV/0!</v>
      </c>
    </row>
    <row r="39" spans="1:31" x14ac:dyDescent="0.25">
      <c r="A39" s="1" t="s">
        <v>44</v>
      </c>
      <c r="B39" s="3">
        <v>3600</v>
      </c>
      <c r="C39" s="9"/>
      <c r="D39" s="9"/>
      <c r="E39" s="9"/>
      <c r="F39" s="9"/>
      <c r="G39" s="9"/>
      <c r="H39" s="9"/>
      <c r="I39" s="21">
        <v>5.4000000000000003E-3</v>
      </c>
      <c r="J39" s="8"/>
      <c r="K39" s="22"/>
      <c r="L39" s="16">
        <v>19.2</v>
      </c>
      <c r="M39" s="14">
        <f>$B$7/2*2*PI()/60*B39</f>
        <v>20.357520395261858</v>
      </c>
      <c r="N39" s="14">
        <f>I39/($B$8*(2*PI()*$B$7/2-$B$10*$B$9))</f>
        <v>2.0216177884922546</v>
      </c>
      <c r="O39" s="12">
        <f>S55*9.81/M39^2</f>
        <v>0.45448596777838768</v>
      </c>
      <c r="P39" s="20">
        <f t="shared" si="10"/>
        <v>9.9305698790446956E-2</v>
      </c>
      <c r="Q39" s="2" t="e">
        <f>_xlfn.STDEV.S(E39:G39)</f>
        <v>#DIV/0!</v>
      </c>
      <c r="R39" s="2">
        <f t="shared" si="4"/>
        <v>4.3026527297494637</v>
      </c>
      <c r="S39" s="2" t="e">
        <f>Q39*R39/SQRT(COUNT(E39:G39))</f>
        <v>#DIV/0!</v>
      </c>
      <c r="T39" s="2">
        <v>0.2</v>
      </c>
      <c r="U39" s="2" t="e">
        <f t="shared" si="5"/>
        <v>#DIV/0!</v>
      </c>
      <c r="V39" s="2" t="e">
        <f>I39*(U39/H39)</f>
        <v>#DIV/0!</v>
      </c>
      <c r="W39" s="2">
        <v>0</v>
      </c>
      <c r="X39" s="2">
        <v>0.01</v>
      </c>
      <c r="Y39" s="2">
        <f t="shared" si="6"/>
        <v>0.01</v>
      </c>
      <c r="Z39" s="2">
        <f>J39*Y39</f>
        <v>0</v>
      </c>
      <c r="AA39" s="19" t="e">
        <f>SQRT(Z39^2+(16*I39/(PI()^2*$B$6^4*9.81)*(1-($B$6/$B$5)^(4))*V39)^2)</f>
        <v>#DIV/0!</v>
      </c>
      <c r="AB39" s="2">
        <v>0</v>
      </c>
      <c r="AC39" s="2" t="e">
        <f>N39*V39/I39</f>
        <v>#DIV/0!</v>
      </c>
      <c r="AD39" s="2" t="e">
        <f>O39*AA39/S55</f>
        <v>#DIV/0!</v>
      </c>
      <c r="AE39" s="2" t="e">
        <f t="shared" si="8"/>
        <v>#DIV/0!</v>
      </c>
    </row>
    <row r="40" spans="1:31" x14ac:dyDescent="0.25">
      <c r="A40" s="1" t="s">
        <v>44</v>
      </c>
      <c r="B40" s="3">
        <v>3600</v>
      </c>
      <c r="C40" s="9"/>
      <c r="D40" s="9"/>
      <c r="E40" s="9"/>
      <c r="F40" s="9"/>
      <c r="G40" s="9"/>
      <c r="H40" s="9"/>
      <c r="I40" s="21">
        <v>4.0000000000000001E-3</v>
      </c>
      <c r="J40" s="8"/>
      <c r="K40" s="22"/>
      <c r="L40" s="16">
        <v>21.6</v>
      </c>
      <c r="M40" s="14">
        <f>$B$7/2*2*PI()/60*B40</f>
        <v>20.357520395261858</v>
      </c>
      <c r="N40" s="14">
        <f>I40/($B$8*(2*PI()*$B$7/2-$B$10*$B$9))</f>
        <v>1.4974946581424107</v>
      </c>
      <c r="O40" s="12">
        <f>S56*9.81/M40^2</f>
        <v>0.51129671375068619</v>
      </c>
      <c r="P40" s="20">
        <f t="shared" si="10"/>
        <v>7.3559776881812547E-2</v>
      </c>
      <c r="Q40" s="2" t="e">
        <f>_xlfn.STDEV.S(E40:G40)</f>
        <v>#DIV/0!</v>
      </c>
      <c r="R40" s="2">
        <f t="shared" si="4"/>
        <v>4.3026527297494637</v>
      </c>
      <c r="S40" s="2" t="e">
        <f>Q40*R40/SQRT(COUNT(E40:G40))</f>
        <v>#DIV/0!</v>
      </c>
      <c r="T40" s="2">
        <v>0.2</v>
      </c>
      <c r="U40" s="2" t="e">
        <f t="shared" si="5"/>
        <v>#DIV/0!</v>
      </c>
      <c r="V40" s="2" t="e">
        <f>I40*(U40/H40)</f>
        <v>#DIV/0!</v>
      </c>
      <c r="W40" s="2">
        <v>0</v>
      </c>
      <c r="X40" s="2">
        <v>0.01</v>
      </c>
      <c r="Y40" s="2">
        <f t="shared" si="6"/>
        <v>0.01</v>
      </c>
      <c r="Z40" s="2">
        <f>J40*Y40</f>
        <v>0</v>
      </c>
      <c r="AA40" s="19" t="e">
        <f>SQRT(Z40^2+(16*I40/(PI()^2*$B$6^4*9.81)*(1-($B$6/$B$5)^(4))*V40)^2)</f>
        <v>#DIV/0!</v>
      </c>
      <c r="AB40" s="2">
        <v>0</v>
      </c>
      <c r="AC40" s="2" t="e">
        <f>N40*V40/I40</f>
        <v>#DIV/0!</v>
      </c>
      <c r="AD40" s="2" t="e">
        <f>O40*AA40/S56</f>
        <v>#DIV/0!</v>
      </c>
      <c r="AE40" s="2" t="e">
        <f t="shared" si="8"/>
        <v>#DIV/0!</v>
      </c>
    </row>
    <row r="41" spans="1:31" x14ac:dyDescent="0.25">
      <c r="A41" s="1" t="s">
        <v>44</v>
      </c>
      <c r="B41" s="3">
        <v>3600</v>
      </c>
      <c r="C41" s="9"/>
      <c r="D41" s="9"/>
      <c r="E41" s="9"/>
      <c r="F41" s="9"/>
      <c r="G41" s="9"/>
      <c r="H41" s="9"/>
      <c r="I41" s="21">
        <v>2.7000000000000001E-3</v>
      </c>
      <c r="J41" s="8"/>
      <c r="K41" s="22"/>
      <c r="L41" s="16">
        <v>22.8</v>
      </c>
      <c r="M41" s="14">
        <f>$B$7/2*2*PI()/60*B41</f>
        <v>20.357520395261858</v>
      </c>
      <c r="N41" s="14">
        <f>I41/($B$8*(2*PI()*$B$7/2-$B$10*$B$9))</f>
        <v>1.0108088942461273</v>
      </c>
      <c r="O41" s="12">
        <f>S57*9.81/M41^2</f>
        <v>0.5397020867368354</v>
      </c>
      <c r="P41" s="20">
        <f t="shared" si="10"/>
        <v>4.9652849395223478E-2</v>
      </c>
      <c r="Q41" s="2" t="e">
        <f>_xlfn.STDEV.S(E41:G41)</f>
        <v>#DIV/0!</v>
      </c>
      <c r="R41" s="2">
        <f t="shared" si="4"/>
        <v>4.3026527297494637</v>
      </c>
      <c r="S41" s="2" t="e">
        <f>Q41*R41/SQRT(COUNT(E41:G41))</f>
        <v>#DIV/0!</v>
      </c>
      <c r="T41" s="2">
        <v>0.2</v>
      </c>
      <c r="U41" s="2" t="e">
        <f t="shared" si="5"/>
        <v>#DIV/0!</v>
      </c>
      <c r="V41" s="2" t="e">
        <f>I41*(U41/H41)</f>
        <v>#DIV/0!</v>
      </c>
      <c r="W41" s="2">
        <v>0</v>
      </c>
      <c r="X41" s="2">
        <v>0.01</v>
      </c>
      <c r="Y41" s="2">
        <f t="shared" si="6"/>
        <v>0.01</v>
      </c>
      <c r="Z41" s="2">
        <f>J41*Y41</f>
        <v>0</v>
      </c>
      <c r="AA41" s="19" t="e">
        <f>SQRT(Z41^2+(16*I41/(PI()^2*$B$6^4*9.81)*(1-($B$6/$B$5)^(4))*V41)^2)</f>
        <v>#DIV/0!</v>
      </c>
      <c r="AB41" s="2">
        <v>0</v>
      </c>
      <c r="AC41" s="2" t="e">
        <f>N41*V41/I41</f>
        <v>#DIV/0!</v>
      </c>
      <c r="AD41" s="2" t="e">
        <f>O41*AA41/S57</f>
        <v>#DIV/0!</v>
      </c>
      <c r="AE41" s="2" t="e">
        <f t="shared" si="8"/>
        <v>#DIV/0!</v>
      </c>
    </row>
    <row r="42" spans="1:31" x14ac:dyDescent="0.25">
      <c r="A42" s="1"/>
      <c r="L42" s="16">
        <f t="shared" ref="L28:L60" si="11">J42+8*I42^2/(PI()^2*$B$6^4*9.81)*(1-($B$6/$B$5)^4)</f>
        <v>0</v>
      </c>
    </row>
    <row r="43" spans="1:31" x14ac:dyDescent="0.25">
      <c r="L43" s="16">
        <f t="shared" si="11"/>
        <v>0</v>
      </c>
    </row>
    <row r="44" spans="1:31" x14ac:dyDescent="0.25">
      <c r="A44" s="5" t="s">
        <v>23</v>
      </c>
      <c r="B44"/>
      <c r="L44" s="16">
        <f t="shared" si="11"/>
        <v>0</v>
      </c>
      <c r="S44" s="15">
        <v>2.58</v>
      </c>
    </row>
    <row r="45" spans="1:31" x14ac:dyDescent="0.25">
      <c r="A45" s="10" t="s">
        <v>10</v>
      </c>
      <c r="B45" s="7" t="s">
        <v>17</v>
      </c>
      <c r="C45" s="10" t="s">
        <v>7</v>
      </c>
      <c r="D45" s="10"/>
      <c r="E45" s="10" t="s">
        <v>9</v>
      </c>
      <c r="F45" s="10"/>
      <c r="G45" s="10"/>
      <c r="J45" s="7" t="s">
        <v>29</v>
      </c>
      <c r="K45" s="7"/>
      <c r="L45" s="16" t="e">
        <f t="shared" si="11"/>
        <v>#VALUE!</v>
      </c>
      <c r="O45" s="2" t="s">
        <v>45</v>
      </c>
      <c r="P45" s="2" t="s">
        <v>46</v>
      </c>
      <c r="S45" s="15">
        <v>4.1399999999999997</v>
      </c>
    </row>
    <row r="46" spans="1:31" x14ac:dyDescent="0.25">
      <c r="A46" s="10"/>
      <c r="B46" s="7"/>
      <c r="C46" s="2" t="s">
        <v>24</v>
      </c>
      <c r="D46" s="2" t="s">
        <v>25</v>
      </c>
      <c r="E46" s="10"/>
      <c r="F46" s="10"/>
      <c r="G46" s="10"/>
      <c r="H46" s="2" t="s">
        <v>28</v>
      </c>
      <c r="I46" s="2" t="s">
        <v>27</v>
      </c>
      <c r="J46" s="2" t="s">
        <v>24</v>
      </c>
      <c r="K46" s="2" t="s">
        <v>25</v>
      </c>
      <c r="L46" s="16" t="e">
        <f t="shared" si="11"/>
        <v>#VALUE!</v>
      </c>
      <c r="M46" s="2" t="s">
        <v>32</v>
      </c>
      <c r="N46" s="2" t="s">
        <v>38</v>
      </c>
      <c r="O46" s="2" t="s">
        <v>43</v>
      </c>
      <c r="P46" s="2" t="s">
        <v>42</v>
      </c>
      <c r="S46" s="15">
        <v>4.96</v>
      </c>
    </row>
    <row r="47" spans="1:31" x14ac:dyDescent="0.25">
      <c r="A47" s="10"/>
      <c r="B47" s="2" t="s">
        <v>22</v>
      </c>
      <c r="C47" s="7" t="s">
        <v>0</v>
      </c>
      <c r="D47" s="7"/>
      <c r="E47" s="7" t="s">
        <v>19</v>
      </c>
      <c r="F47" s="7"/>
      <c r="G47" s="7"/>
      <c r="H47" s="2" t="s">
        <v>19</v>
      </c>
      <c r="I47" s="2" t="s">
        <v>33</v>
      </c>
      <c r="J47" s="7" t="s">
        <v>34</v>
      </c>
      <c r="K47" s="7"/>
      <c r="L47" s="16" t="e">
        <f t="shared" si="11"/>
        <v>#VALUE!</v>
      </c>
      <c r="M47" s="2" t="s">
        <v>36</v>
      </c>
      <c r="N47" s="2" t="s">
        <v>36</v>
      </c>
      <c r="S47" s="15">
        <v>5.4</v>
      </c>
    </row>
    <row r="48" spans="1:31" x14ac:dyDescent="0.25">
      <c r="A48" s="1" t="s">
        <v>11</v>
      </c>
      <c r="B48" s="2">
        <v>2700</v>
      </c>
      <c r="C48" s="2">
        <v>2.87</v>
      </c>
      <c r="D48" s="2">
        <v>2.72</v>
      </c>
      <c r="E48" s="2">
        <v>12.46</v>
      </c>
      <c r="F48" s="2">
        <v>12.28</v>
      </c>
      <c r="G48" s="2">
        <v>12.79</v>
      </c>
      <c r="H48" s="2">
        <f>AVERAGE(E48:G48)</f>
        <v>12.51</v>
      </c>
      <c r="I48" s="2">
        <f>$D$3/$B$2/H48</f>
        <v>7.2662110792328068E-3</v>
      </c>
      <c r="J48" s="2">
        <f>5*C48/($B$2*9.81)*6894.76</f>
        <v>10.105818773122188</v>
      </c>
      <c r="K48" s="2">
        <f>5*D48/($B$2*9.81)*6894.76</f>
        <v>9.5776400916001219</v>
      </c>
      <c r="L48" s="16">
        <f t="shared" si="11"/>
        <v>11.5210761729642</v>
      </c>
      <c r="M48" s="2">
        <f>$B$7/2*2*PI()/60*B48</f>
        <v>15.268140296446393</v>
      </c>
      <c r="N48" s="2">
        <f>I48/($B$8*(2*PI()*$B$7/2-$B$10*$B$9))</f>
        <v>2.7202780690215822</v>
      </c>
      <c r="O48" s="2">
        <f>L48*9.81/M48^2</f>
        <v>0.48483031984427383</v>
      </c>
      <c r="P48" s="2">
        <f>N48/M48</f>
        <v>0.17816695525483989</v>
      </c>
      <c r="S48" s="15">
        <v>5.77</v>
      </c>
    </row>
    <row r="49" spans="1:19" x14ac:dyDescent="0.25">
      <c r="A49" s="1" t="s">
        <v>12</v>
      </c>
      <c r="B49" s="2">
        <v>2700</v>
      </c>
      <c r="C49" s="2">
        <v>3.08</v>
      </c>
      <c r="D49" s="2">
        <v>2.96</v>
      </c>
      <c r="E49" s="2">
        <v>14.49</v>
      </c>
      <c r="F49" s="2">
        <v>14.49</v>
      </c>
      <c r="G49" s="2">
        <v>14.42</v>
      </c>
      <c r="H49" s="2">
        <f>AVERAGE(E49:G49)</f>
        <v>14.466666666666667</v>
      </c>
      <c r="I49" s="2">
        <f>$D$3/$B$2/H49</f>
        <v>6.2834309171338068E-3</v>
      </c>
      <c r="J49" s="2">
        <f>5*C49/($B$2*9.81)*6894.76</f>
        <v>10.845268927253079</v>
      </c>
      <c r="K49" s="2">
        <f>5*D49/($B$2*9.81)*6894.76</f>
        <v>10.422725982035425</v>
      </c>
      <c r="L49" s="16">
        <f t="shared" si="11"/>
        <v>11.903579425144908</v>
      </c>
      <c r="M49" s="2">
        <f>$B$7/2*2*PI()/60*B49</f>
        <v>15.268140296446393</v>
      </c>
      <c r="N49" s="2">
        <f>I49/($B$8*(2*PI()*$B$7/2-$B$10*$B$9))</f>
        <v>2.352351058303686</v>
      </c>
      <c r="O49" s="2">
        <f>L49*9.81/M49^2</f>
        <v>0.5009268347281377</v>
      </c>
      <c r="P49" s="2">
        <f>N49/M49</f>
        <v>0.1540692587722152</v>
      </c>
      <c r="S49" s="15">
        <v>9.1199999999999992</v>
      </c>
    </row>
    <row r="50" spans="1:19" x14ac:dyDescent="0.25">
      <c r="A50" s="1" t="s">
        <v>13</v>
      </c>
      <c r="B50" s="2">
        <v>2700</v>
      </c>
      <c r="C50" s="2">
        <v>3.52</v>
      </c>
      <c r="D50" s="2">
        <v>3.53</v>
      </c>
      <c r="E50" s="2">
        <v>41.05</v>
      </c>
      <c r="F50" s="2">
        <v>40.99</v>
      </c>
      <c r="G50" s="2">
        <v>40.99</v>
      </c>
      <c r="H50" s="2">
        <f>AVERAGE(E50:G50)</f>
        <v>41.01</v>
      </c>
      <c r="I50" s="2">
        <f>$D$3/$B$2/H50</f>
        <v>2.2165398829846967E-3</v>
      </c>
      <c r="J50" s="2">
        <f>5*C50/($B$2*9.81)*6894.76</f>
        <v>12.394593059717804</v>
      </c>
      <c r="K50" s="2">
        <f>5*D50/($B$2*9.81)*6894.76</f>
        <v>12.429804971819275</v>
      </c>
      <c r="L50" s="16">
        <f t="shared" si="11"/>
        <v>12.526288432249631</v>
      </c>
      <c r="M50" s="2">
        <f>$B$7/2*2*PI()/60*B50</f>
        <v>15.268140296446393</v>
      </c>
      <c r="N50" s="2">
        <f>I50/($B$8*(2*PI()*$B$7/2-$B$10*$B$9))</f>
        <v>0.82981415858229679</v>
      </c>
      <c r="O50" s="2">
        <f>L50*9.81/M50^2</f>
        <v>0.52713169637057367</v>
      </c>
      <c r="P50" s="2">
        <f>N50/M50</f>
        <v>5.4349393080664395E-2</v>
      </c>
      <c r="S50" s="16">
        <v>11</v>
      </c>
    </row>
    <row r="51" spans="1:19" x14ac:dyDescent="0.25">
      <c r="A51" s="1" t="s">
        <v>14</v>
      </c>
      <c r="B51" s="2">
        <v>2700</v>
      </c>
      <c r="C51" s="2">
        <v>3.55</v>
      </c>
      <c r="D51" s="2">
        <v>3.55</v>
      </c>
      <c r="E51" s="2" t="s">
        <v>15</v>
      </c>
      <c r="F51" s="2" t="s">
        <v>15</v>
      </c>
      <c r="G51" s="2" t="s">
        <v>15</v>
      </c>
      <c r="J51" s="2">
        <f>5*C51/($B$2*9.81)*6894.76</f>
        <v>12.500228796022217</v>
      </c>
      <c r="K51" s="2">
        <f>5*D51/($B$2*9.81)*6894.76</f>
        <v>12.500228796022217</v>
      </c>
      <c r="L51" s="16">
        <f t="shared" si="11"/>
        <v>12.500228796022217</v>
      </c>
      <c r="M51" s="2">
        <f>$B$7/2*2*PI()/60*B51</f>
        <v>15.268140296446393</v>
      </c>
      <c r="N51" s="2">
        <f>I51/($B$8*(2*PI()*$B$7/2-$B$10*$B$9))</f>
        <v>0</v>
      </c>
      <c r="O51" s="2">
        <f>L51*9.81/M51^2</f>
        <v>0.52603505387142835</v>
      </c>
      <c r="P51" s="2">
        <f>N51/M51</f>
        <v>0</v>
      </c>
      <c r="S51" s="16">
        <v>12.1</v>
      </c>
    </row>
    <row r="52" spans="1:19" x14ac:dyDescent="0.25">
      <c r="A52"/>
      <c r="B52"/>
      <c r="C52"/>
      <c r="L52" s="16">
        <f t="shared" si="11"/>
        <v>0</v>
      </c>
      <c r="S52" s="16">
        <v>12.8</v>
      </c>
    </row>
    <row r="53" spans="1:19" x14ac:dyDescent="0.25">
      <c r="A53" s="5" t="s">
        <v>26</v>
      </c>
      <c r="B53"/>
      <c r="C53"/>
      <c r="L53" s="16">
        <f t="shared" si="11"/>
        <v>0</v>
      </c>
      <c r="S53" s="16">
        <v>10.3</v>
      </c>
    </row>
    <row r="54" spans="1:19" x14ac:dyDescent="0.25">
      <c r="A54" s="10" t="s">
        <v>10</v>
      </c>
      <c r="B54" s="7" t="s">
        <v>17</v>
      </c>
      <c r="C54" s="10" t="s">
        <v>7</v>
      </c>
      <c r="D54" s="10"/>
      <c r="E54" s="10" t="s">
        <v>9</v>
      </c>
      <c r="F54" s="10"/>
      <c r="G54" s="10"/>
      <c r="J54" s="7" t="s">
        <v>29</v>
      </c>
      <c r="K54" s="7"/>
      <c r="L54" s="16" t="e">
        <f t="shared" si="11"/>
        <v>#VALUE!</v>
      </c>
      <c r="O54" s="2" t="s">
        <v>45</v>
      </c>
      <c r="P54" s="2" t="s">
        <v>46</v>
      </c>
      <c r="S54" s="16">
        <v>16.100000000000001</v>
      </c>
    </row>
    <row r="55" spans="1:19" x14ac:dyDescent="0.25">
      <c r="A55" s="10"/>
      <c r="B55" s="7"/>
      <c r="C55" s="2" t="s">
        <v>24</v>
      </c>
      <c r="D55" s="2" t="s">
        <v>25</v>
      </c>
      <c r="E55" s="10"/>
      <c r="F55" s="10"/>
      <c r="G55" s="10"/>
      <c r="H55" s="2" t="s">
        <v>28</v>
      </c>
      <c r="I55" s="2" t="s">
        <v>27</v>
      </c>
      <c r="J55" s="2" t="s">
        <v>24</v>
      </c>
      <c r="K55" s="2" t="s">
        <v>25</v>
      </c>
      <c r="L55" s="16" t="e">
        <f t="shared" si="11"/>
        <v>#VALUE!</v>
      </c>
      <c r="M55" s="2" t="s">
        <v>32</v>
      </c>
      <c r="N55" s="2" t="s">
        <v>38</v>
      </c>
      <c r="O55" s="2" t="s">
        <v>43</v>
      </c>
      <c r="P55" s="2" t="s">
        <v>42</v>
      </c>
      <c r="S55" s="16">
        <v>19.2</v>
      </c>
    </row>
    <row r="56" spans="1:19" x14ac:dyDescent="0.25">
      <c r="A56" s="10"/>
      <c r="B56" s="2" t="s">
        <v>22</v>
      </c>
      <c r="C56" s="7" t="s">
        <v>0</v>
      </c>
      <c r="D56" s="7"/>
      <c r="E56" s="7" t="s">
        <v>19</v>
      </c>
      <c r="F56" s="7"/>
      <c r="G56" s="7"/>
      <c r="H56" s="2" t="s">
        <v>19</v>
      </c>
      <c r="I56" s="2" t="s">
        <v>33</v>
      </c>
      <c r="J56" s="7" t="s">
        <v>34</v>
      </c>
      <c r="K56" s="7"/>
      <c r="L56" s="16" t="e">
        <f t="shared" si="11"/>
        <v>#VALUE!</v>
      </c>
      <c r="M56" s="2" t="s">
        <v>36</v>
      </c>
      <c r="N56" s="2" t="s">
        <v>36</v>
      </c>
      <c r="S56" s="16">
        <v>21.6</v>
      </c>
    </row>
    <row r="57" spans="1:19" x14ac:dyDescent="0.25">
      <c r="A57" s="1" t="s">
        <v>11</v>
      </c>
      <c r="B57" s="2">
        <v>2700</v>
      </c>
      <c r="C57" s="2">
        <v>0.68</v>
      </c>
      <c r="D57" s="2">
        <v>1.68</v>
      </c>
      <c r="E57" s="2">
        <v>16.64</v>
      </c>
      <c r="F57" s="2">
        <v>16.170000000000002</v>
      </c>
      <c r="G57" s="2">
        <v>16.03</v>
      </c>
      <c r="H57" s="2">
        <f>AVERAGE(E57:G57)</f>
        <v>16.28</v>
      </c>
      <c r="I57" s="2">
        <f>$D$3/$B$2/H57</f>
        <v>5.5835565479854053E-3</v>
      </c>
      <c r="J57" s="2">
        <f>5*C57/($B$2*9.81)*6894.76</f>
        <v>2.3944100229000305</v>
      </c>
      <c r="K57" s="2">
        <f>5*D57/($B$2*9.81)*6894.76</f>
        <v>5.9156012330471341</v>
      </c>
      <c r="L57" s="16">
        <f t="shared" si="11"/>
        <v>3.2300924168513028</v>
      </c>
      <c r="M57" s="2">
        <f>$B$7/2*2*PI()/60*B57</f>
        <v>15.268140296446393</v>
      </c>
      <c r="N57" s="2">
        <f>I57/($B$8*(2*PI()*$B$7/2-$B$10*$B$9))</f>
        <v>2.0903365260110558</v>
      </c>
      <c r="O57" s="2">
        <f>L57*9.81/M57^2</f>
        <v>0.1359288590820644</v>
      </c>
      <c r="P57" s="2">
        <f>N57/M57</f>
        <v>0.13690839129226329</v>
      </c>
      <c r="S57" s="16">
        <v>22.8</v>
      </c>
    </row>
    <row r="58" spans="1:19" x14ac:dyDescent="0.25">
      <c r="A58" s="1" t="s">
        <v>12</v>
      </c>
      <c r="B58" s="2">
        <v>2700</v>
      </c>
      <c r="C58" s="2">
        <v>0.9</v>
      </c>
      <c r="D58" s="2">
        <v>1.84</v>
      </c>
      <c r="E58" s="2">
        <v>16.71</v>
      </c>
      <c r="F58" s="2">
        <v>16.579999999999998</v>
      </c>
      <c r="G58" s="2">
        <v>16.760000000000002</v>
      </c>
      <c r="H58" s="2">
        <f>AVERAGE(E58:G58)</f>
        <v>16.683333333333334</v>
      </c>
      <c r="I58" s="2">
        <f>$D$3/$B$2/H58</f>
        <v>5.4485694666055393E-3</v>
      </c>
      <c r="J58" s="2">
        <f>5*C58/($B$2*9.81)*6894.76</f>
        <v>3.1690720891323929</v>
      </c>
      <c r="K58" s="2">
        <f>5*D58/($B$2*9.81)*6894.76</f>
        <v>6.4789918266706712</v>
      </c>
      <c r="L58" s="16">
        <f t="shared" si="11"/>
        <v>3.964836293523061</v>
      </c>
      <c r="M58" s="2">
        <f>$B$7/2*2*PI()/60*B58</f>
        <v>15.268140296446393</v>
      </c>
      <c r="N58" s="2">
        <f>I58/($B$8*(2*PI()*$B$7/2-$B$10*$B$9))</f>
        <v>2.0398009176899095</v>
      </c>
      <c r="O58" s="2">
        <f>L58*9.81/M58^2</f>
        <v>0.16684837592080592</v>
      </c>
      <c r="P58" s="2">
        <f>N58/M58</f>
        <v>0.13359851809618661</v>
      </c>
    </row>
    <row r="59" spans="1:19" x14ac:dyDescent="0.25">
      <c r="A59" s="1" t="s">
        <v>13</v>
      </c>
      <c r="B59" s="2">
        <v>2700</v>
      </c>
      <c r="C59" s="2">
        <v>2.89</v>
      </c>
      <c r="D59" s="2">
        <v>3.26</v>
      </c>
      <c r="E59" s="2">
        <v>30.52</v>
      </c>
      <c r="F59" s="2">
        <v>30.23</v>
      </c>
      <c r="G59" s="2">
        <v>30.67</v>
      </c>
      <c r="H59" s="2">
        <f>AVERAGE(E59:G59)</f>
        <v>30.473333333333333</v>
      </c>
      <c r="I59" s="2">
        <f>$D$3/$B$2/H59</f>
        <v>2.9829457646423892E-3</v>
      </c>
      <c r="J59" s="2">
        <f>5*C59/($B$2*9.81)*6894.76</f>
        <v>10.17624259732513</v>
      </c>
      <c r="K59" s="2">
        <f>5*D59/($B$2*9.81)*6894.76</f>
        <v>11.479083345079555</v>
      </c>
      <c r="L59" s="16">
        <f t="shared" si="11"/>
        <v>10.41475453972645</v>
      </c>
      <c r="M59" s="2">
        <f>$B$7/2*2*PI()/60*B59</f>
        <v>15.268140296446393</v>
      </c>
      <c r="N59" s="2">
        <f>I59/($B$8*(2*PI()*$B$7/2-$B$10*$B$9))</f>
        <v>1.1167363370201266</v>
      </c>
      <c r="O59" s="2">
        <f>L59*9.81/M59^2</f>
        <v>0.43827405520017892</v>
      </c>
      <c r="P59" s="2">
        <f>N59/M59</f>
        <v>7.3141608299213956E-2</v>
      </c>
    </row>
    <row r="60" spans="1:19" x14ac:dyDescent="0.25">
      <c r="A60" s="1" t="s">
        <v>14</v>
      </c>
      <c r="B60" s="2">
        <v>2700</v>
      </c>
      <c r="C60" s="2">
        <v>3.52</v>
      </c>
      <c r="D60" s="2">
        <v>3.55</v>
      </c>
      <c r="E60" s="2" t="s">
        <v>15</v>
      </c>
      <c r="F60" s="2" t="s">
        <v>15</v>
      </c>
      <c r="G60" s="2" t="s">
        <v>15</v>
      </c>
      <c r="J60" s="2">
        <f>5*C60/($B$2*9.81)*6894.76</f>
        <v>12.394593059717804</v>
      </c>
      <c r="K60" s="2">
        <f>5*D60/($B$2*9.81)*6894.76</f>
        <v>12.500228796022217</v>
      </c>
      <c r="L60" s="16">
        <f t="shared" si="11"/>
        <v>12.394593059717804</v>
      </c>
      <c r="M60" s="2">
        <f>$B$7/2*2*PI()/60*B60</f>
        <v>15.268140296446393</v>
      </c>
      <c r="N60" s="2">
        <f>I60/($B$8*(2*PI()*$B$7/2-$B$10*$B$9))</f>
        <v>0</v>
      </c>
      <c r="O60" s="2">
        <f>L60*9.81/M60^2</f>
        <v>0.52158968721899379</v>
      </c>
      <c r="P60" s="2">
        <f>N60/M60</f>
        <v>0</v>
      </c>
    </row>
    <row r="63" spans="1:19" x14ac:dyDescent="0.25">
      <c r="A63" s="2">
        <f>180-147</f>
        <v>33</v>
      </c>
    </row>
    <row r="64" spans="1:19" x14ac:dyDescent="0.25">
      <c r="A64" s="12">
        <f>_xlfn.COT(RADIANS(A63))</f>
        <v>1.5398649638145827</v>
      </c>
    </row>
  </sheetData>
  <mergeCells count="21">
    <mergeCell ref="B54:B55"/>
    <mergeCell ref="A54:A56"/>
    <mergeCell ref="A45:A47"/>
    <mergeCell ref="E45:G46"/>
    <mergeCell ref="B45:B46"/>
    <mergeCell ref="C47:D47"/>
    <mergeCell ref="C45:D45"/>
    <mergeCell ref="E47:G47"/>
    <mergeCell ref="K14:K41"/>
    <mergeCell ref="E14:G14"/>
    <mergeCell ref="E13:G13"/>
    <mergeCell ref="J56:K56"/>
    <mergeCell ref="J28:J41"/>
    <mergeCell ref="C28:H41"/>
    <mergeCell ref="J45:K45"/>
    <mergeCell ref="J47:K47"/>
    <mergeCell ref="J54:K54"/>
    <mergeCell ref="E56:G56"/>
    <mergeCell ref="C56:D56"/>
    <mergeCell ref="E54:G55"/>
    <mergeCell ref="C54:D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Info and Rubric (2)</vt:lpstr>
      <vt:lpstr>Student Info and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2024-02-22T08:47:16Z</dcterms:modified>
</cp:coreProperties>
</file>