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2 - Bolted Connections\"/>
    </mc:Choice>
  </mc:AlternateContent>
  <xr:revisionPtr revIDLastSave="0" documentId="13_ncr:1_{B5E174BC-1EB3-47F8-BED5-082DFD1BD6B9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seans analysis" sheetId="6" state="hidden" r:id="rId1"/>
    <sheet name="analysis" sheetId="7" r:id="rId2"/>
    <sheet name="plotting" sheetId="8" r:id="rId3"/>
  </sheets>
  <definedNames>
    <definedName name="_xlnm._FilterDatabase" localSheetId="0" hidden="1">'seans analysis'!$B$14:$L$14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" i="7" l="1"/>
  <c r="B49" i="7"/>
  <c r="J64" i="7" s="1"/>
  <c r="H36" i="7"/>
  <c r="I36" i="7" s="1"/>
  <c r="J89" i="7"/>
  <c r="L20" i="7"/>
  <c r="H37" i="7"/>
  <c r="H38" i="7"/>
  <c r="H39" i="7"/>
  <c r="H40" i="7"/>
  <c r="H41" i="7"/>
  <c r="H26" i="7" a="1"/>
  <c r="H26" i="7" s="1"/>
  <c r="H32" i="7" s="1"/>
  <c r="K58" i="7" a="1"/>
  <c r="K58" i="7" s="1"/>
  <c r="H33" i="7"/>
  <c r="J86" i="7"/>
  <c r="J87" i="7" s="1"/>
  <c r="J85" i="7"/>
  <c r="J84" i="7"/>
  <c r="L18" i="7"/>
  <c r="E57" i="7" l="1"/>
  <c r="D54" i="7" l="1"/>
  <c r="D4" i="7"/>
  <c r="D8" i="7"/>
  <c r="D7" i="7"/>
  <c r="E2" i="7" l="1"/>
  <c r="B9" i="7"/>
  <c r="D45" i="7" s="1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B11" i="7"/>
  <c r="D47" i="7" s="1"/>
  <c r="B10" i="7"/>
  <c r="D46" i="7" s="1"/>
  <c r="C45" i="7"/>
  <c r="C46" i="7"/>
  <c r="C37" i="7"/>
  <c r="C38" i="7"/>
  <c r="C39" i="7"/>
  <c r="C40" i="7"/>
  <c r="C41" i="7"/>
  <c r="C36" i="7"/>
  <c r="F37" i="7"/>
  <c r="F38" i="7"/>
  <c r="F39" i="7"/>
  <c r="F40" i="7"/>
  <c r="F41" i="7"/>
  <c r="F36" i="7"/>
  <c r="B47" i="7" l="1"/>
  <c r="C47" i="7" s="1"/>
  <c r="D20" i="7"/>
  <c r="D21" i="7"/>
  <c r="D22" i="7"/>
  <c r="D23" i="7"/>
  <c r="D24" i="7"/>
  <c r="D25" i="7"/>
  <c r="D26" i="7"/>
  <c r="D27" i="7"/>
  <c r="D19" i="7"/>
  <c r="C56" i="6"/>
  <c r="C57" i="6" s="1"/>
  <c r="AE35" i="6"/>
  <c r="AD35" i="6"/>
  <c r="U35" i="6"/>
  <c r="T35" i="6"/>
  <c r="P35" i="6"/>
  <c r="M35" i="6"/>
  <c r="L35" i="6"/>
  <c r="AF35" i="6" s="1"/>
  <c r="J35" i="6"/>
  <c r="AE34" i="6"/>
  <c r="AD34" i="6"/>
  <c r="U34" i="6"/>
  <c r="T34" i="6"/>
  <c r="P34" i="6"/>
  <c r="M34" i="6"/>
  <c r="L34" i="6"/>
  <c r="J34" i="6"/>
  <c r="K34" i="6" s="1"/>
  <c r="AE33" i="6"/>
  <c r="AD33" i="6"/>
  <c r="U33" i="6"/>
  <c r="T33" i="6"/>
  <c r="P33" i="6"/>
  <c r="M33" i="6"/>
  <c r="AG33" i="6" s="1"/>
  <c r="L33" i="6"/>
  <c r="J33" i="6"/>
  <c r="K33" i="6" s="1"/>
  <c r="AE32" i="6"/>
  <c r="AD32" i="6"/>
  <c r="U32" i="6"/>
  <c r="T32" i="6"/>
  <c r="P32" i="6"/>
  <c r="M32" i="6"/>
  <c r="L32" i="6"/>
  <c r="J32" i="6"/>
  <c r="K32" i="6" s="1"/>
  <c r="AE31" i="6"/>
  <c r="AD31" i="6"/>
  <c r="U31" i="6"/>
  <c r="T31" i="6"/>
  <c r="P31" i="6"/>
  <c r="M31" i="6"/>
  <c r="N31" i="6" s="1"/>
  <c r="L31" i="6"/>
  <c r="J31" i="6"/>
  <c r="AE30" i="6"/>
  <c r="AD30" i="6"/>
  <c r="U30" i="6"/>
  <c r="T30" i="6"/>
  <c r="P30" i="6"/>
  <c r="M30" i="6"/>
  <c r="L30" i="6"/>
  <c r="J30" i="6"/>
  <c r="K30" i="6" s="1"/>
  <c r="AE29" i="6"/>
  <c r="AD29" i="6"/>
  <c r="U29" i="6"/>
  <c r="T29" i="6"/>
  <c r="P29" i="6"/>
  <c r="M29" i="6"/>
  <c r="N29" i="6" s="1"/>
  <c r="L29" i="6"/>
  <c r="J29" i="6"/>
  <c r="K29" i="6" s="1"/>
  <c r="AE28" i="6"/>
  <c r="AD28" i="6"/>
  <c r="AF28" i="6" s="1"/>
  <c r="U28" i="6"/>
  <c r="T28" i="6"/>
  <c r="P28" i="6"/>
  <c r="M28" i="6"/>
  <c r="N28" i="6" s="1"/>
  <c r="L28" i="6"/>
  <c r="J28" i="6"/>
  <c r="K28" i="6" s="1"/>
  <c r="AE49" i="6"/>
  <c r="AD49" i="6"/>
  <c r="U49" i="6"/>
  <c r="T49" i="6"/>
  <c r="R49" i="6"/>
  <c r="P49" i="6"/>
  <c r="M49" i="6"/>
  <c r="N49" i="6" s="1"/>
  <c r="L49" i="6"/>
  <c r="J49" i="6"/>
  <c r="AE48" i="6"/>
  <c r="AD48" i="6"/>
  <c r="U48" i="6"/>
  <c r="T48" i="6"/>
  <c r="P48" i="6"/>
  <c r="R48" i="6" s="1"/>
  <c r="M48" i="6"/>
  <c r="L48" i="6"/>
  <c r="N48" i="6" s="1"/>
  <c r="J48" i="6"/>
  <c r="AE47" i="6"/>
  <c r="AD47" i="6"/>
  <c r="U47" i="6"/>
  <c r="T47" i="6"/>
  <c r="P47" i="6"/>
  <c r="R47" i="6" s="1"/>
  <c r="M47" i="6"/>
  <c r="L47" i="6"/>
  <c r="J47" i="6"/>
  <c r="AE46" i="6"/>
  <c r="AG46" i="6" s="1"/>
  <c r="AD46" i="6"/>
  <c r="U46" i="6"/>
  <c r="T46" i="6"/>
  <c r="V46" i="6" s="1"/>
  <c r="X46" i="6" s="1"/>
  <c r="Y46" i="6" s="1"/>
  <c r="P46" i="6"/>
  <c r="R46" i="6" s="1"/>
  <c r="M46" i="6"/>
  <c r="L46" i="6"/>
  <c r="N46" i="6" s="1"/>
  <c r="J46" i="6"/>
  <c r="AE45" i="6"/>
  <c r="AD45" i="6"/>
  <c r="U45" i="6"/>
  <c r="T45" i="6"/>
  <c r="P45" i="6"/>
  <c r="R45" i="6" s="1"/>
  <c r="M45" i="6"/>
  <c r="L45" i="6"/>
  <c r="J45" i="6"/>
  <c r="AE44" i="6"/>
  <c r="AD44" i="6"/>
  <c r="U44" i="6"/>
  <c r="T44" i="6"/>
  <c r="R44" i="6"/>
  <c r="P44" i="6"/>
  <c r="M44" i="6"/>
  <c r="L44" i="6"/>
  <c r="AF44" i="6" s="1"/>
  <c r="J44" i="6"/>
  <c r="AE43" i="6"/>
  <c r="AD43" i="6"/>
  <c r="AF43" i="6" s="1"/>
  <c r="U43" i="6"/>
  <c r="T43" i="6"/>
  <c r="P43" i="6"/>
  <c r="R43" i="6" s="1"/>
  <c r="M43" i="6"/>
  <c r="L43" i="6"/>
  <c r="J43" i="6"/>
  <c r="AE42" i="6"/>
  <c r="AD42" i="6"/>
  <c r="U42" i="6"/>
  <c r="T42" i="6"/>
  <c r="P42" i="6"/>
  <c r="R42" i="6" s="1"/>
  <c r="M42" i="6"/>
  <c r="L42" i="6"/>
  <c r="J42" i="6"/>
  <c r="AE41" i="6"/>
  <c r="AD41" i="6"/>
  <c r="U41" i="6"/>
  <c r="T41" i="6"/>
  <c r="P41" i="6"/>
  <c r="R41" i="6" s="1"/>
  <c r="M41" i="6"/>
  <c r="L41" i="6"/>
  <c r="J41" i="6"/>
  <c r="AE40" i="6"/>
  <c r="AD40" i="6"/>
  <c r="U40" i="6"/>
  <c r="V40" i="6" s="1"/>
  <c r="X40" i="6" s="1"/>
  <c r="Y40" i="6" s="1"/>
  <c r="T40" i="6"/>
  <c r="P40" i="6"/>
  <c r="R40" i="6" s="1"/>
  <c r="M40" i="6"/>
  <c r="L40" i="6"/>
  <c r="J40" i="6"/>
  <c r="AE39" i="6"/>
  <c r="AD39" i="6"/>
  <c r="U39" i="6"/>
  <c r="T39" i="6"/>
  <c r="P39" i="6"/>
  <c r="R39" i="6" s="1"/>
  <c r="M39" i="6"/>
  <c r="L39" i="6"/>
  <c r="J39" i="6"/>
  <c r="AE38" i="6"/>
  <c r="AD38" i="6"/>
  <c r="U38" i="6"/>
  <c r="T38" i="6"/>
  <c r="P38" i="6"/>
  <c r="R38" i="6" s="1"/>
  <c r="M38" i="6"/>
  <c r="L38" i="6"/>
  <c r="J38" i="6"/>
  <c r="AE37" i="6"/>
  <c r="AD37" i="6"/>
  <c r="U37" i="6"/>
  <c r="T37" i="6"/>
  <c r="P37" i="6"/>
  <c r="R37" i="6" s="1"/>
  <c r="M37" i="6"/>
  <c r="L37" i="6"/>
  <c r="J37" i="6"/>
  <c r="AE36" i="6"/>
  <c r="AD36" i="6"/>
  <c r="U36" i="6"/>
  <c r="T36" i="6"/>
  <c r="P36" i="6"/>
  <c r="R36" i="6" s="1"/>
  <c r="M36" i="6"/>
  <c r="L36" i="6"/>
  <c r="J36" i="6"/>
  <c r="AE27" i="6"/>
  <c r="AD27" i="6"/>
  <c r="U27" i="6"/>
  <c r="T27" i="6"/>
  <c r="P27" i="6"/>
  <c r="M27" i="6"/>
  <c r="L27" i="6"/>
  <c r="J27" i="6"/>
  <c r="AE26" i="6"/>
  <c r="AD26" i="6"/>
  <c r="U26" i="6"/>
  <c r="T26" i="6"/>
  <c r="P26" i="6"/>
  <c r="M26" i="6"/>
  <c r="L26" i="6"/>
  <c r="J26" i="6"/>
  <c r="K26" i="6" s="1"/>
  <c r="AE25" i="6"/>
  <c r="AD25" i="6"/>
  <c r="U25" i="6"/>
  <c r="T25" i="6"/>
  <c r="P25" i="6"/>
  <c r="M25" i="6"/>
  <c r="L25" i="6"/>
  <c r="J25" i="6"/>
  <c r="K25" i="6" s="1"/>
  <c r="AE24" i="6"/>
  <c r="AD24" i="6"/>
  <c r="U24" i="6"/>
  <c r="T24" i="6"/>
  <c r="P24" i="6"/>
  <c r="M24" i="6"/>
  <c r="L24" i="6"/>
  <c r="J24" i="6"/>
  <c r="K24" i="6" s="1"/>
  <c r="AE23" i="6"/>
  <c r="AD23" i="6"/>
  <c r="U23" i="6"/>
  <c r="T23" i="6"/>
  <c r="P23" i="6"/>
  <c r="M23" i="6"/>
  <c r="L23" i="6"/>
  <c r="J23" i="6"/>
  <c r="AE22" i="6"/>
  <c r="AD22" i="6"/>
  <c r="U22" i="6"/>
  <c r="T22" i="6"/>
  <c r="P22" i="6"/>
  <c r="M22" i="6"/>
  <c r="L22" i="6"/>
  <c r="J22" i="6"/>
  <c r="K22" i="6" s="1"/>
  <c r="AE21" i="6"/>
  <c r="AD21" i="6"/>
  <c r="U21" i="6"/>
  <c r="T21" i="6"/>
  <c r="P21" i="6"/>
  <c r="M21" i="6"/>
  <c r="L21" i="6"/>
  <c r="J21" i="6"/>
  <c r="K21" i="6" s="1"/>
  <c r="AE20" i="6"/>
  <c r="AD20" i="6"/>
  <c r="U20" i="6"/>
  <c r="T20" i="6"/>
  <c r="P20" i="6"/>
  <c r="M20" i="6"/>
  <c r="L20" i="6"/>
  <c r="J20" i="6"/>
  <c r="K20" i="6" s="1"/>
  <c r="AE19" i="6"/>
  <c r="AD19" i="6"/>
  <c r="U19" i="6"/>
  <c r="T19" i="6"/>
  <c r="P19" i="6"/>
  <c r="M19" i="6"/>
  <c r="L19" i="6"/>
  <c r="J19" i="6"/>
  <c r="AE18" i="6"/>
  <c r="AD18" i="6"/>
  <c r="U18" i="6"/>
  <c r="T18" i="6"/>
  <c r="P18" i="6"/>
  <c r="M18" i="6"/>
  <c r="L18" i="6"/>
  <c r="J18" i="6"/>
  <c r="K18" i="6" s="1"/>
  <c r="AE17" i="6"/>
  <c r="AD17" i="6"/>
  <c r="U17" i="6"/>
  <c r="T17" i="6"/>
  <c r="P17" i="6"/>
  <c r="M17" i="6"/>
  <c r="L17" i="6"/>
  <c r="J17" i="6"/>
  <c r="K17" i="6" s="1"/>
  <c r="AE16" i="6"/>
  <c r="AD16" i="6"/>
  <c r="U16" i="6"/>
  <c r="T16" i="6"/>
  <c r="P16" i="6"/>
  <c r="M16" i="6"/>
  <c r="L16" i="6"/>
  <c r="J16" i="6"/>
  <c r="K16" i="6" s="1"/>
  <c r="B8" i="6"/>
  <c r="Q37" i="6" s="1"/>
  <c r="J7" i="6"/>
  <c r="B6" i="6"/>
  <c r="B5" i="6"/>
  <c r="H18" i="7" l="1" a="1"/>
  <c r="V29" i="6"/>
  <c r="X29" i="6" s="1"/>
  <c r="V28" i="6"/>
  <c r="X28" i="6" s="1"/>
  <c r="V45" i="6"/>
  <c r="X45" i="6" s="1"/>
  <c r="Y45" i="6" s="1"/>
  <c r="AF27" i="6"/>
  <c r="AH27" i="6" s="1"/>
  <c r="AF36" i="6"/>
  <c r="AF40" i="6"/>
  <c r="AG17" i="6"/>
  <c r="N18" i="6"/>
  <c r="AG24" i="6"/>
  <c r="AG25" i="6"/>
  <c r="AG38" i="6"/>
  <c r="N39" i="6"/>
  <c r="AF45" i="6"/>
  <c r="AF49" i="6"/>
  <c r="AG29" i="6"/>
  <c r="AH29" i="6" s="1"/>
  <c r="V18" i="6"/>
  <c r="X18" i="6" s="1"/>
  <c r="V19" i="6"/>
  <c r="X19" i="6" s="1"/>
  <c r="Y19" i="6" s="1"/>
  <c r="V24" i="6"/>
  <c r="X24" i="6" s="1"/>
  <c r="Y24" i="6" s="1"/>
  <c r="V27" i="6"/>
  <c r="X27" i="6" s="1"/>
  <c r="Y27" i="6" s="1"/>
  <c r="V36" i="6"/>
  <c r="X36" i="6" s="1"/>
  <c r="Y36" i="6" s="1"/>
  <c r="V37" i="6"/>
  <c r="X37" i="6" s="1"/>
  <c r="Y37" i="6" s="1"/>
  <c r="V43" i="6"/>
  <c r="X43" i="6" s="1"/>
  <c r="Y43" i="6" s="1"/>
  <c r="AI43" i="6" s="1"/>
  <c r="AL43" i="6" s="1"/>
  <c r="AF29" i="6"/>
  <c r="AI36" i="6"/>
  <c r="AL36" i="6" s="1"/>
  <c r="AG39" i="6"/>
  <c r="AG26" i="6"/>
  <c r="AG27" i="6"/>
  <c r="AG37" i="6"/>
  <c r="AF39" i="6"/>
  <c r="V47" i="6"/>
  <c r="X47" i="6" s="1"/>
  <c r="Y47" i="6" s="1"/>
  <c r="AG28" i="6"/>
  <c r="AH28" i="6" s="1"/>
  <c r="V30" i="6"/>
  <c r="X30" i="6" s="1"/>
  <c r="Y30" i="6" s="1"/>
  <c r="AG34" i="6"/>
  <c r="N40" i="6"/>
  <c r="N42" i="6"/>
  <c r="N43" i="6"/>
  <c r="AG21" i="6"/>
  <c r="AG22" i="6"/>
  <c r="AG23" i="6"/>
  <c r="V48" i="6"/>
  <c r="X48" i="6" s="1"/>
  <c r="Q18" i="6"/>
  <c r="AF47" i="6"/>
  <c r="AF30" i="6"/>
  <c r="AF31" i="6"/>
  <c r="AF16" i="6"/>
  <c r="AH16" i="6" s="1"/>
  <c r="N17" i="6"/>
  <c r="O17" i="6" s="1"/>
  <c r="R17" i="6" s="1"/>
  <c r="AF18" i="6"/>
  <c r="AH18" i="6" s="1"/>
  <c r="V44" i="6"/>
  <c r="X44" i="6" s="1"/>
  <c r="Y44" i="6" s="1"/>
  <c r="N47" i="6"/>
  <c r="AG30" i="6"/>
  <c r="AH30" i="6" s="1"/>
  <c r="AG32" i="6"/>
  <c r="N33" i="6"/>
  <c r="O33" i="6" s="1"/>
  <c r="R33" i="6" s="1"/>
  <c r="Q34" i="6"/>
  <c r="S34" i="6" s="1"/>
  <c r="V49" i="6"/>
  <c r="X49" i="6" s="1"/>
  <c r="Y49" i="6" s="1"/>
  <c r="AF25" i="6"/>
  <c r="AH25" i="6" s="1"/>
  <c r="Q26" i="6"/>
  <c r="S26" i="6" s="1"/>
  <c r="N38" i="6"/>
  <c r="N41" i="6"/>
  <c r="AF42" i="6"/>
  <c r="AG43" i="6"/>
  <c r="V34" i="6"/>
  <c r="X34" i="6" s="1"/>
  <c r="Y34" i="6" s="1"/>
  <c r="N35" i="6"/>
  <c r="V20" i="6"/>
  <c r="X20" i="6" s="1"/>
  <c r="V21" i="6"/>
  <c r="X21" i="6" s="1"/>
  <c r="Y21" i="6" s="1"/>
  <c r="AI21" i="6" s="1"/>
  <c r="V22" i="6"/>
  <c r="X22" i="6" s="1"/>
  <c r="V23" i="6"/>
  <c r="X23" i="6" s="1"/>
  <c r="Y23" i="6" s="1"/>
  <c r="N26" i="6"/>
  <c r="O26" i="6" s="1"/>
  <c r="R26" i="6" s="1"/>
  <c r="AG47" i="6"/>
  <c r="Y48" i="6"/>
  <c r="V31" i="6"/>
  <c r="X31" i="6" s="1"/>
  <c r="Y31" i="6" s="1"/>
  <c r="N32" i="6"/>
  <c r="O32" i="6" s="1"/>
  <c r="R32" i="6" s="1"/>
  <c r="V26" i="6"/>
  <c r="X26" i="6" s="1"/>
  <c r="Y26" i="6" s="1"/>
  <c r="V38" i="6"/>
  <c r="X38" i="6" s="1"/>
  <c r="Y38" i="6" s="1"/>
  <c r="V41" i="6"/>
  <c r="X41" i="6" s="1"/>
  <c r="Y41" i="6" s="1"/>
  <c r="V42" i="6"/>
  <c r="X42" i="6" s="1"/>
  <c r="Y42" i="6" s="1"/>
  <c r="AF48" i="6"/>
  <c r="N30" i="6"/>
  <c r="O30" i="6" s="1"/>
  <c r="R30" i="6" s="1"/>
  <c r="V32" i="6"/>
  <c r="X32" i="6" s="1"/>
  <c r="Y32" i="6" s="1"/>
  <c r="V25" i="6"/>
  <c r="X25" i="6" s="1"/>
  <c r="AF19" i="6"/>
  <c r="AH19" i="6" s="1"/>
  <c r="AG19" i="6"/>
  <c r="N34" i="6"/>
  <c r="O34" i="6" s="1"/>
  <c r="R34" i="6" s="1"/>
  <c r="V16" i="6"/>
  <c r="X16" i="6" s="1"/>
  <c r="Y16" i="6" s="1"/>
  <c r="AI16" i="6" s="1"/>
  <c r="V17" i="6"/>
  <c r="X17" i="6" s="1"/>
  <c r="Y17" i="6" s="1"/>
  <c r="AF20" i="6"/>
  <c r="AH20" i="6" s="1"/>
  <c r="AF21" i="6"/>
  <c r="AH21" i="6" s="1"/>
  <c r="AF22" i="6"/>
  <c r="AH22" i="6" s="1"/>
  <c r="AF23" i="6"/>
  <c r="AH23" i="6" s="1"/>
  <c r="V39" i="6"/>
  <c r="X39" i="6" s="1"/>
  <c r="Y39" i="6" s="1"/>
  <c r="AI39" i="6" s="1"/>
  <c r="AL39" i="6" s="1"/>
  <c r="AG45" i="6"/>
  <c r="AI49" i="6"/>
  <c r="AL49" i="6" s="1"/>
  <c r="AG31" i="6"/>
  <c r="V33" i="6"/>
  <c r="X33" i="6" s="1"/>
  <c r="Y33" i="6" s="1"/>
  <c r="V35" i="6"/>
  <c r="X35" i="6" s="1"/>
  <c r="Y35" i="6" s="1"/>
  <c r="AG20" i="6"/>
  <c r="AF24" i="6"/>
  <c r="AH24" i="6" s="1"/>
  <c r="AF41" i="6"/>
  <c r="Q28" i="6"/>
  <c r="S28" i="6" s="1"/>
  <c r="O31" i="6"/>
  <c r="R31" i="6" s="1"/>
  <c r="Y25" i="6"/>
  <c r="AI25" i="6" s="1"/>
  <c r="O18" i="6"/>
  <c r="R18" i="6" s="1"/>
  <c r="Y18" i="6"/>
  <c r="AK18" i="6" s="1"/>
  <c r="N27" i="6"/>
  <c r="O27" i="6" s="1"/>
  <c r="R27" i="6" s="1"/>
  <c r="AF26" i="6"/>
  <c r="AH26" i="6" s="1"/>
  <c r="N25" i="6"/>
  <c r="N24" i="6"/>
  <c r="O24" i="6" s="1"/>
  <c r="R24" i="6" s="1"/>
  <c r="N23" i="6"/>
  <c r="O23" i="6" s="1"/>
  <c r="R23" i="6" s="1"/>
  <c r="N22" i="6"/>
  <c r="O22" i="6" s="1"/>
  <c r="R22" i="6" s="1"/>
  <c r="N19" i="6"/>
  <c r="O19" i="6" s="1"/>
  <c r="R19" i="6" s="1"/>
  <c r="N21" i="6"/>
  <c r="O21" i="6" s="1"/>
  <c r="R21" i="6" s="1"/>
  <c r="N20" i="6"/>
  <c r="O20" i="6" s="1"/>
  <c r="R20" i="6" s="1"/>
  <c r="N16" i="6"/>
  <c r="O16" i="6" s="1"/>
  <c r="R16" i="6" s="1"/>
  <c r="S37" i="6"/>
  <c r="AK37" i="6"/>
  <c r="Q20" i="6"/>
  <c r="Y20" i="6"/>
  <c r="AI20" i="6" s="1"/>
  <c r="O29" i="6"/>
  <c r="R29" i="6" s="1"/>
  <c r="AG16" i="6"/>
  <c r="Q25" i="6"/>
  <c r="AI45" i="6"/>
  <c r="AL45" i="6" s="1"/>
  <c r="O28" i="6"/>
  <c r="R28" i="6" s="1"/>
  <c r="Q33" i="6"/>
  <c r="S18" i="6"/>
  <c r="AF37" i="6"/>
  <c r="AI37" i="6" s="1"/>
  <c r="AL37" i="6" s="1"/>
  <c r="Q24" i="6"/>
  <c r="AG48" i="6"/>
  <c r="Q30" i="6"/>
  <c r="O25" i="6"/>
  <c r="R25" i="6" s="1"/>
  <c r="Q16" i="6"/>
  <c r="AG40" i="6"/>
  <c r="AI40" i="6"/>
  <c r="AL40" i="6" s="1"/>
  <c r="Q45" i="6"/>
  <c r="Q17" i="6"/>
  <c r="AG18" i="6"/>
  <c r="AI27" i="6"/>
  <c r="Q29" i="6"/>
  <c r="Q32" i="6"/>
  <c r="O35" i="6"/>
  <c r="R35" i="6" s="1"/>
  <c r="Q21" i="6"/>
  <c r="N36" i="6"/>
  <c r="AG36" i="6"/>
  <c r="Q44" i="6"/>
  <c r="Q36" i="6"/>
  <c r="Q35" i="6"/>
  <c r="Q31" i="6"/>
  <c r="Q47" i="6"/>
  <c r="Q39" i="6"/>
  <c r="Q42" i="6"/>
  <c r="Q48" i="6"/>
  <c r="Q40" i="6"/>
  <c r="Q19" i="6"/>
  <c r="Q43" i="6"/>
  <c r="Q23" i="6"/>
  <c r="Q46" i="6"/>
  <c r="Q38" i="6"/>
  <c r="Q27" i="6"/>
  <c r="Q49" i="6"/>
  <c r="Q41" i="6"/>
  <c r="AF17" i="6"/>
  <c r="AH17" i="6" s="1"/>
  <c r="Q22" i="6"/>
  <c r="Y22" i="6"/>
  <c r="N44" i="6"/>
  <c r="AG44" i="6"/>
  <c r="AI44" i="6"/>
  <c r="AL44" i="6" s="1"/>
  <c r="AG42" i="6"/>
  <c r="AF32" i="6"/>
  <c r="AH32" i="6" s="1"/>
  <c r="AF33" i="6"/>
  <c r="AH33" i="6" s="1"/>
  <c r="AF34" i="6"/>
  <c r="AG35" i="6"/>
  <c r="AH35" i="6" s="1"/>
  <c r="AI35" i="6" s="1"/>
  <c r="N37" i="6"/>
  <c r="N45" i="6"/>
  <c r="AF38" i="6"/>
  <c r="AI38" i="6" s="1"/>
  <c r="AL38" i="6" s="1"/>
  <c r="AG41" i="6"/>
  <c r="AF46" i="6"/>
  <c r="AI46" i="6" s="1"/>
  <c r="AL46" i="6" s="1"/>
  <c r="AG49" i="6"/>
  <c r="Y28" i="6"/>
  <c r="Y29" i="6"/>
  <c r="H18" i="7" l="1"/>
  <c r="H24" i="7" s="1"/>
  <c r="L19" i="7"/>
  <c r="AI33" i="6"/>
  <c r="AL33" i="6" s="1"/>
  <c r="AI32" i="6"/>
  <c r="AL32" i="6" s="1"/>
  <c r="AI28" i="6"/>
  <c r="AL28" i="6" s="1"/>
  <c r="AI24" i="6"/>
  <c r="AI29" i="6"/>
  <c r="AL35" i="6"/>
  <c r="AH34" i="6"/>
  <c r="AI34" i="6" s="1"/>
  <c r="AL34" i="6" s="1"/>
  <c r="AI23" i="6"/>
  <c r="AL23" i="6" s="1"/>
  <c r="AI19" i="6"/>
  <c r="AI26" i="6"/>
  <c r="AL26" i="6" s="1"/>
  <c r="AI47" i="6"/>
  <c r="AL47" i="6" s="1"/>
  <c r="AI48" i="6"/>
  <c r="AL48" i="6" s="1"/>
  <c r="AI30" i="6"/>
  <c r="AL30" i="6" s="1"/>
  <c r="AL27" i="6"/>
  <c r="AI22" i="6"/>
  <c r="AL22" i="6" s="1"/>
  <c r="AL19" i="6"/>
  <c r="AI18" i="6"/>
  <c r="AL18" i="6" s="1"/>
  <c r="AI41" i="6"/>
  <c r="AL41" i="6" s="1"/>
  <c r="AH31" i="6"/>
  <c r="AI31" i="6" s="1"/>
  <c r="AL31" i="6" s="1"/>
  <c r="AK34" i="6"/>
  <c r="AM34" i="6" s="1"/>
  <c r="AI42" i="6"/>
  <c r="AL42" i="6" s="1"/>
  <c r="AL25" i="6"/>
  <c r="AL24" i="6"/>
  <c r="AI17" i="6"/>
  <c r="AL17" i="6" s="1"/>
  <c r="AL16" i="6"/>
  <c r="AL21" i="6"/>
  <c r="AK46" i="6"/>
  <c r="S46" i="6"/>
  <c r="S20" i="6"/>
  <c r="AK20" i="6"/>
  <c r="S31" i="6"/>
  <c r="AK31" i="6"/>
  <c r="AK28" i="6"/>
  <c r="AM28" i="6" s="1"/>
  <c r="AK39" i="6"/>
  <c r="S39" i="6"/>
  <c r="AK23" i="6"/>
  <c r="S23" i="6"/>
  <c r="AM23" i="6" s="1"/>
  <c r="S35" i="6"/>
  <c r="AK35" i="6"/>
  <c r="S45" i="6"/>
  <c r="AK45" i="6"/>
  <c r="AK24" i="6"/>
  <c r="S24" i="6"/>
  <c r="AK47" i="6"/>
  <c r="S47" i="6"/>
  <c r="AM47" i="6" s="1"/>
  <c r="S17" i="6"/>
  <c r="AK17" i="6"/>
  <c r="S22" i="6"/>
  <c r="AK22" i="6"/>
  <c r="AK43" i="6"/>
  <c r="S43" i="6"/>
  <c r="S32" i="6"/>
  <c r="AK32" i="6"/>
  <c r="AL29" i="6"/>
  <c r="S19" i="6"/>
  <c r="AK19" i="6"/>
  <c r="S36" i="6"/>
  <c r="AK36" i="6"/>
  <c r="AK29" i="6"/>
  <c r="S29" i="6"/>
  <c r="AK26" i="6"/>
  <c r="AM26" i="6" s="1"/>
  <c r="AM18" i="6"/>
  <c r="AK38" i="6"/>
  <c r="S38" i="6"/>
  <c r="S16" i="6"/>
  <c r="AK16" i="6"/>
  <c r="AK41" i="6"/>
  <c r="S41" i="6"/>
  <c r="S40" i="6"/>
  <c r="AK40" i="6"/>
  <c r="S44" i="6"/>
  <c r="AK44" i="6"/>
  <c r="AK30" i="6"/>
  <c r="S30" i="6"/>
  <c r="AK25" i="6"/>
  <c r="S25" i="6"/>
  <c r="AK49" i="6"/>
  <c r="S49" i="6"/>
  <c r="S48" i="6"/>
  <c r="AK48" i="6"/>
  <c r="AL20" i="6"/>
  <c r="S21" i="6"/>
  <c r="AK21" i="6"/>
  <c r="AM37" i="6"/>
  <c r="AK27" i="6"/>
  <c r="S27" i="6"/>
  <c r="S42" i="6"/>
  <c r="AK42" i="6"/>
  <c r="S33" i="6"/>
  <c r="AK33" i="6"/>
  <c r="G36" i="7" l="1"/>
  <c r="E45" i="7"/>
  <c r="F45" i="7" s="1"/>
  <c r="H34" i="7"/>
  <c r="F65" i="7"/>
  <c r="F73" i="7"/>
  <c r="F57" i="7"/>
  <c r="F71" i="7"/>
  <c r="F58" i="7"/>
  <c r="F66" i="7"/>
  <c r="F74" i="7"/>
  <c r="F72" i="7"/>
  <c r="F59" i="7"/>
  <c r="F67" i="7"/>
  <c r="F75" i="7"/>
  <c r="F64" i="7"/>
  <c r="F60" i="7"/>
  <c r="F68" i="7"/>
  <c r="F76" i="7"/>
  <c r="F79" i="7"/>
  <c r="F61" i="7"/>
  <c r="F69" i="7"/>
  <c r="F77" i="7"/>
  <c r="F62" i="7"/>
  <c r="F70" i="7"/>
  <c r="F78" i="7"/>
  <c r="F63" i="7"/>
  <c r="F80" i="7"/>
  <c r="E46" i="7"/>
  <c r="F46" i="7" s="1"/>
  <c r="E47" i="7"/>
  <c r="F47" i="7" s="1"/>
  <c r="G40" i="7"/>
  <c r="G38" i="7"/>
  <c r="G39" i="7"/>
  <c r="I39" i="7" s="1"/>
  <c r="G41" i="7"/>
  <c r="G37" i="7"/>
  <c r="I37" i="7" s="1"/>
  <c r="AM27" i="6"/>
  <c r="AM49" i="6"/>
  <c r="AM42" i="6"/>
  <c r="AM48" i="6"/>
  <c r="AM44" i="6"/>
  <c r="AM19" i="6"/>
  <c r="AM45" i="6"/>
  <c r="AM31" i="6"/>
  <c r="AM40" i="6"/>
  <c r="AM25" i="6"/>
  <c r="AM41" i="6"/>
  <c r="AM29" i="6"/>
  <c r="AM43" i="6"/>
  <c r="AM39" i="6"/>
  <c r="AM46" i="6"/>
  <c r="AM30" i="6"/>
  <c r="AM24" i="6"/>
  <c r="AM22" i="6"/>
  <c r="AM17" i="6"/>
  <c r="AM35" i="6"/>
  <c r="AM32" i="6"/>
  <c r="AM21" i="6"/>
  <c r="AM20" i="6"/>
  <c r="AM33" i="6"/>
  <c r="AM16" i="6"/>
  <c r="AM36" i="6"/>
  <c r="AM38" i="6"/>
  <c r="L73" i="7" l="1" a="1"/>
  <c r="L73" i="7" s="1"/>
  <c r="L66" i="7" a="1"/>
  <c r="L66" i="7" s="1"/>
  <c r="I41" i="7"/>
  <c r="I38" i="7"/>
  <c r="I58" i="7" a="1"/>
  <c r="I58" i="7" s="1"/>
  <c r="I40" i="7"/>
  <c r="K36" i="7" a="1"/>
  <c r="K36" i="7" s="1"/>
  <c r="L41" i="7" s="1"/>
  <c r="J73" i="7" s="1"/>
  <c r="J72" i="7" l="1"/>
  <c r="J74" i="7" s="1"/>
  <c r="L79" i="7"/>
  <c r="J68" i="7"/>
  <c r="J69" i="7" s="1"/>
  <c r="J65" i="7"/>
  <c r="J77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<sst xmlns="http://schemas.openxmlformats.org/spreadsheetml/2006/main" count="414" uniqueCount="210">
  <si>
    <t>(V)</t>
  </si>
  <si>
    <t>Transducer Calibration Factor</t>
  </si>
  <si>
    <t>psi/V</t>
  </si>
  <si>
    <t>Density of Water</t>
  </si>
  <si>
    <t>kg/m^3</t>
  </si>
  <si>
    <t>Mass of water collected</t>
  </si>
  <si>
    <t>lb</t>
  </si>
  <si>
    <t>Transducer Output</t>
  </si>
  <si>
    <t>Moment arm</t>
  </si>
  <si>
    <t>Time to collect water</t>
  </si>
  <si>
    <t>Fully open</t>
  </si>
  <si>
    <t>Partial 1</t>
  </si>
  <si>
    <t>Partial 2</t>
  </si>
  <si>
    <t>Closed</t>
  </si>
  <si>
    <t>Pump Speed</t>
  </si>
  <si>
    <t>(cm)</t>
  </si>
  <si>
    <t>(s)</t>
  </si>
  <si>
    <t>Dyno Mass</t>
  </si>
  <si>
    <t>kg</t>
  </si>
  <si>
    <t>(RPM)</t>
  </si>
  <si>
    <t>Pump 1</t>
  </si>
  <si>
    <t>Pump 2</t>
  </si>
  <si>
    <t>Volumetric Flow</t>
  </si>
  <si>
    <t>Nominal Time</t>
  </si>
  <si>
    <t>Transducer Head</t>
  </si>
  <si>
    <t>D_1 (inlet)</t>
  </si>
  <si>
    <t>D_2 (outlet)</t>
  </si>
  <si>
    <t>U</t>
  </si>
  <si>
    <t>(m^3/s)</t>
  </si>
  <si>
    <t>(m)</t>
  </si>
  <si>
    <t>D (impeller)</t>
  </si>
  <si>
    <t>(m/s)</t>
  </si>
  <si>
    <t>Number of blades</t>
  </si>
  <si>
    <t>v_{2r}</t>
  </si>
  <si>
    <t>b (blade height at exit)</t>
  </si>
  <si>
    <t>m</t>
  </si>
  <si>
    <t>w (blade width at exit)</t>
  </si>
  <si>
    <t>$\Phi$</t>
  </si>
  <si>
    <t>$\Psi$</t>
  </si>
  <si>
    <t>Manufacturer</t>
  </si>
  <si>
    <t>Head coeff</t>
  </si>
  <si>
    <t>flow coeff</t>
  </si>
  <si>
    <t>Trial 1</t>
  </si>
  <si>
    <t>Trial 2</t>
  </si>
  <si>
    <t>Trial 3</t>
  </si>
  <si>
    <t>time stdev</t>
  </si>
  <si>
    <t>t-inv</t>
  </si>
  <si>
    <t>$P_t$</t>
  </si>
  <si>
    <t>$B_t$</t>
  </si>
  <si>
    <t>$\delta_t$</t>
  </si>
  <si>
    <t>$\delta_Q$</t>
  </si>
  <si>
    <t>$\unit{\meter\cubed\per\second}$</t>
  </si>
  <si>
    <t>$\delta_{H_t}$</t>
  </si>
  <si>
    <t>$\delta_{H}$</t>
  </si>
  <si>
    <t>head uncertainty</t>
  </si>
  <si>
    <t>coeffient uncertainty</t>
  </si>
  <si>
    <t>$\delta_U$</t>
  </si>
  <si>
    <t>$\delta_{v_{2r}}$</t>
  </si>
  <si>
    <t>$\delta_{\Psi}$</t>
  </si>
  <si>
    <t>Corrected Head</t>
  </si>
  <si>
    <t>$\delta_{Phi}$</t>
  </si>
  <si>
    <t>Valve Configuration</t>
  </si>
  <si>
    <t>Pump Configuration</t>
  </si>
  <si>
    <t>Single</t>
  </si>
  <si>
    <t>Parallel</t>
  </si>
  <si>
    <t>Nominal Transducer Head</t>
  </si>
  <si>
    <t>$P_{V_{\text{tr1}}}$</t>
  </si>
  <si>
    <t>$P_{V_{\text{tr2}}}$</t>
  </si>
  <si>
    <t>$B_{V_{\text{tr1}}}$</t>
  </si>
  <si>
    <t>$B_{V_{\text{tr2}}}$</t>
  </si>
  <si>
    <t>Transducer Precision</t>
  </si>
  <si>
    <t>Transducer Bias</t>
  </si>
  <si>
    <t>$\delta_{V_{\text{tr1}}}$</t>
  </si>
  <si>
    <t>$\delta_{V_{\text{tr2}}}$</t>
  </si>
  <si>
    <t>Transducer Uncertainty</t>
  </si>
  <si>
    <t>$\delta_{H_t1}$</t>
  </si>
  <si>
    <t>Transducer Head Uncertainty</t>
  </si>
  <si>
    <t>$\delta_{H_t2}$</t>
  </si>
  <si>
    <t>Series</t>
  </si>
  <si>
    <t>beta_2</t>
  </si>
  <si>
    <t>cot(beta_2)</t>
  </si>
  <si>
    <t>Gain Set on Vishay for Bolt and Washer (Dimensionless)</t>
  </si>
  <si>
    <t>Shunt Calibration for Bolt and Washer (Volts)</t>
  </si>
  <si>
    <t>Bridge Excitation (Volts)</t>
  </si>
  <si>
    <t>Bolt Diameter (inch)</t>
  </si>
  <si>
    <t>Length of Joined Members (mm)</t>
  </si>
  <si>
    <t>External Load</t>
  </si>
  <si>
    <t>Bolt Out</t>
  </si>
  <si>
    <t>Washer Out</t>
  </si>
  <si>
    <t>Bolt Stiffness and Washer Calibration (Nut Finger Tight)</t>
  </si>
  <si>
    <t>Bolt</t>
  </si>
  <si>
    <t>Washer</t>
  </si>
  <si>
    <t>Repeatability at 50 lb-in torque (no external load)</t>
  </si>
  <si>
    <t>Trial 4</t>
  </si>
  <si>
    <t>Trial 5</t>
  </si>
  <si>
    <t>No Gasket</t>
  </si>
  <si>
    <t>Nut Torque</t>
  </si>
  <si>
    <t>Shakedown Test</t>
  </si>
  <si>
    <t>0 -&gt; 7.5 -&gt; 0</t>
  </si>
  <si>
    <t>With Gasket</t>
  </si>
  <si>
    <t>Bolt Strain</t>
  </si>
  <si>
    <t>Gauge Factor</t>
  </si>
  <si>
    <t>Bolt Body Outer Diameter</t>
  </si>
  <si>
    <t>Bolt Body Inner Diameter</t>
  </si>
  <si>
    <t>in</t>
  </si>
  <si>
    <t>mm^2</t>
  </si>
  <si>
    <t>slope</t>
  </si>
  <si>
    <t>E</t>
  </si>
  <si>
    <t>linest for bolt strain</t>
  </si>
  <si>
    <t>linest for washer out</t>
  </si>
  <si>
    <t>epsilon_{eq}</t>
  </si>
  <si>
    <t>Gauge Resistance</t>
  </si>
  <si>
    <t>Ω</t>
  </si>
  <si>
    <t xml:space="preserve">Shunt Resistance </t>
  </si>
  <si>
    <t>Number of Active Arms</t>
  </si>
  <si>
    <t>Q1</t>
  </si>
  <si>
    <t>correction factor</t>
  </si>
  <si>
    <t>epsilon (coefficient for y = ax)</t>
  </si>
  <si>
    <t>q2</t>
  </si>
  <si>
    <t>Bolt Transducer, $V_b$</t>
  </si>
  <si>
    <t>Washer Transducer, $V_w$</t>
  </si>
  <si>
    <t>Bolt Strain, $\epsilon_b$</t>
  </si>
  <si>
    <t>Torque, $T$ (Nm)</t>
  </si>
  <si>
    <t>Torque, $T$ (in-lb)</t>
  </si>
  <si>
    <t>linest for Preload vs Torque</t>
  </si>
  <si>
    <t>Torque Coeff</t>
  </si>
  <si>
    <t>Q3</t>
  </si>
  <si>
    <t>bolt stiffness</t>
  </si>
  <si>
    <t>Cross Sectional Area, $A_s$ (mm^2)</t>
  </si>
  <si>
    <t xml:space="preserve">Bolt Body Cross Sectional Area of 0.910 </t>
  </si>
  <si>
    <t>Bolt Body Cross Sectional Area of 1.471</t>
  </si>
  <si>
    <t>Threaded Section Length</t>
  </si>
  <si>
    <t>Length of section, $L$</t>
  </si>
  <si>
    <t>(in)</t>
  </si>
  <si>
    <t>(mm)</t>
  </si>
  <si>
    <t>1/k (m/MN)</t>
  </si>
  <si>
    <t>Stiffness, $k$ (MN/m)</t>
  </si>
  <si>
    <t>MN/m</t>
  </si>
  <si>
    <t>Without Gasket</t>
  </si>
  <si>
    <t>Bolt Force</t>
  </si>
  <si>
    <t>linest for boltforce vs external</t>
  </si>
  <si>
    <t>k_m, th</t>
  </si>
  <si>
    <t>k_m, exp</t>
  </si>
  <si>
    <t>k_b</t>
  </si>
  <si>
    <t>preseperation</t>
  </si>
  <si>
    <t>post seperation</t>
  </si>
  <si>
    <t>mm</t>
  </si>
  <si>
    <t>Bolt Body Cross Sectional Area of Threaded Section</t>
  </si>
  <si>
    <t>Bolt Total Length</t>
  </si>
  <si>
    <t>Err exp/th</t>
  </si>
  <si>
    <t>P_th</t>
  </si>
  <si>
    <t>kN</t>
  </si>
  <si>
    <t>Seperation point, exp</t>
  </si>
  <si>
    <t>P_exp</t>
  </si>
  <si>
    <t>Seperation point, th</t>
  </si>
  <si>
    <t>C_th</t>
  </si>
  <si>
    <t>F_i</t>
  </si>
  <si>
    <t>in-lb</t>
  </si>
  <si>
    <t>Nm</t>
  </si>
  <si>
    <t>Seperation point err</t>
  </si>
  <si>
    <t>slope err</t>
  </si>
  <si>
    <t>slope err (S_a)</t>
  </si>
  <si>
    <t>error prop for E</t>
  </si>
  <si>
    <t>95% confidence t-value</t>
  </si>
  <si>
    <t>E err</t>
  </si>
  <si>
    <t>stdev bolt</t>
  </si>
  <si>
    <t>stdev washer</t>
  </si>
  <si>
    <t>t-dist</t>
  </si>
  <si>
    <t>P_b</t>
  </si>
  <si>
    <t>B_b</t>
  </si>
  <si>
    <t>delta E_o</t>
  </si>
  <si>
    <t>Preload Err</t>
  </si>
  <si>
    <t>x</t>
  </si>
  <si>
    <t>y</t>
  </si>
  <si>
    <t>Preload, $F_i$  (kN)</t>
  </si>
  <si>
    <t>[kN/Nm]</t>
  </si>
  <si>
    <t>external load vs washer transducer (kN vs V)</t>
  </si>
  <si>
    <t>external load vs bolt strain (kN vs unitless)</t>
  </si>
  <si>
    <t>xerr</t>
  </si>
  <si>
    <t>yerr</t>
  </si>
  <si>
    <t>torque vs preload (Nm vs kN)</t>
  </si>
  <si>
    <t>without gasket postseperation (kN vs kN)</t>
  </si>
  <si>
    <t>without gasket preseperation (kN vs kN)</t>
  </si>
  <si>
    <t>with gasket preseperation (kN vs kN)</t>
  </si>
  <si>
    <t>dataset</t>
  </si>
  <si>
    <t>k_1</t>
  </si>
  <si>
    <t>k_2</t>
  </si>
  <si>
    <t>k_3</t>
  </si>
  <si>
    <t>F_sep</t>
  </si>
  <si>
    <t>max_stress</t>
  </si>
  <si>
    <t>min_stress</t>
  </si>
  <si>
    <t>mean_stress</t>
  </si>
  <si>
    <t>alternating_stress</t>
  </si>
  <si>
    <t>Torque</t>
  </si>
  <si>
    <t>%err</t>
  </si>
  <si>
    <t>gasket quadratic</t>
  </si>
  <si>
    <t>gasket linear</t>
  </si>
  <si>
    <t>0 lbs gasket</t>
  </si>
  <si>
    <t>0 lbs nogasket</t>
  </si>
  <si>
    <t>125 lbs gasket</t>
  </si>
  <si>
    <t>125 lbs nogasket</t>
  </si>
  <si>
    <t>60 lbs gasket</t>
  </si>
  <si>
    <t>60 lbs nogasket</t>
  </si>
  <si>
    <t>75 lbs gasket</t>
  </si>
  <si>
    <t>75 lbs nogasket</t>
  </si>
  <si>
    <t>mean stress with gasket (MPa vs in-lb)</t>
  </si>
  <si>
    <t>mean stress without gasket (MPa vs in-lb)</t>
  </si>
  <si>
    <t>(in-lb)</t>
  </si>
  <si>
    <t>alternating stress with gasket (MPa vs in-lb)</t>
  </si>
  <si>
    <t>alternating stress without gasket (MPa vs in-lb)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</si>
</sst>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"/>
    <numFmt numFmtId="165" formatCode="0.0000"/>
    <numFmt numFmtId="166" formatCode="0.000"/>
    <numFmt numFmtId="167" formatCode="0.0"/>
    <numFmt numFmtId="168" formatCode="#,##0;\-#,##0;\-"/>
    <numFmt numFmtId="169" formatCode="#,##0.0;\-#,##0.0;\-"/>
    <numFmt numFmtId="170" formatCode="#,##0.00;\-#,##0.00;\-"/>
    <numFmt numFmtId="171" formatCode="#,##0.0000;\-#,##0.0000;\-"/>
    <numFmt numFmtId="172" formatCode="#,##0.00000;\-#,##0.00000;\-"/>
  </numFmts>
  <fonts count="7" x14ac:knownFonts="1">
    <font>
      <sz val="10"/>
      <color rgb="FF000000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0" fontId="1" fillId="0" borderId="0" xfId="0" applyNumberFormat="1" applyFont="1" applyAlignment="1">
      <alignment horizontal="center" wrapText="1"/>
    </xf>
    <xf numFmtId="171" fontId="1" fillId="0" borderId="0" xfId="0" applyNumberFormat="1" applyFont="1" applyAlignment="1">
      <alignment horizontal="center"/>
    </xf>
    <xf numFmtId="172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/>
    <xf numFmtId="11" fontId="0" fillId="0" borderId="0" xfId="0" applyNumberFormat="1"/>
    <xf numFmtId="0" fontId="3" fillId="2" borderId="0" xfId="0" applyFont="1" applyFill="1"/>
    <xf numFmtId="0" fontId="0" fillId="2" borderId="0" xfId="0" applyFill="1"/>
    <xf numFmtId="0" fontId="6" fillId="2" borderId="0" xfId="0" applyFont="1" applyFill="1"/>
    <xf numFmtId="166" fontId="0" fillId="0" borderId="0" xfId="0" applyNumberFormat="1"/>
    <xf numFmtId="2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wrapText="1"/>
    </xf>
    <xf numFmtId="166" fontId="0" fillId="2" borderId="0" xfId="0" applyNumberFormat="1" applyFill="1"/>
    <xf numFmtId="165" fontId="0" fillId="0" borderId="0" xfId="0" applyNumberFormat="1"/>
    <xf numFmtId="1" fontId="0" fillId="0" borderId="0" xfId="0" applyNumberFormat="1"/>
    <xf numFmtId="166" fontId="3" fillId="0" borderId="0" xfId="0" applyNumberFormat="1" applyFont="1"/>
    <xf numFmtId="2" fontId="0" fillId="2" borderId="0" xfId="0" applyNumberFormat="1" applyFill="1"/>
    <xf numFmtId="1" fontId="0" fillId="2" borderId="0" xfId="0" applyNumberFormat="1" applyFill="1"/>
    <xf numFmtId="1" fontId="0" fillId="0" borderId="0" xfId="0" applyNumberFormat="1" applyAlignment="1">
      <alignment wrapText="1"/>
    </xf>
    <xf numFmtId="166" fontId="0" fillId="0" borderId="0" xfId="0" quotePrefix="1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583405</xdr:colOff>
      <xdr:row>7</xdr:row>
      <xdr:rowOff>75753</xdr:rowOff>
    </xdr:from>
    <xdr:to>
      <xdr:col>18</xdr:col>
      <xdr:colOff>335703</xdr:colOff>
      <xdr:row>16</xdr:row>
      <xdr:rowOff>175596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E10885-2F7B-91B3-7CBA-440B621D0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0296" y="1409253"/>
          <a:ext cx="4425501" cy="1754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D2BF-2435-4432-9E0F-30159E475F72}">
  <dimension ref="A1:AM65"/>
  <sheetViews>
    <sheetView topLeftCell="A10" zoomScale="130" zoomScaleNormal="130" workbookViewId="0">
      <selection activeCell="B14" sqref="B14:AI27"/>
    </sheetView>
  </sheetViews>
  <sheetFormatPr defaultColWidth="10.85546875" defaultRowHeight="15.75" x14ac:dyDescent="0.25"/>
  <cols>
    <col min="1" max="1" width="29" style="2" bestFit="1" customWidth="1"/>
    <col min="2" max="2" width="20.140625" style="2" bestFit="1" customWidth="1"/>
    <col min="3" max="3" width="12.28515625" style="3" bestFit="1" customWidth="1"/>
    <col min="4" max="4" width="9.42578125" style="3" hidden="1" customWidth="1"/>
    <col min="5" max="5" width="8.140625" style="3" hidden="1" customWidth="1"/>
    <col min="6" max="6" width="12.140625" style="3" hidden="1" customWidth="1"/>
    <col min="7" max="9" width="7.140625" style="3" hidden="1" customWidth="1"/>
    <col min="10" max="10" width="13.28515625" style="15" hidden="1" customWidth="1"/>
    <col min="11" max="11" width="15.5703125" style="3" hidden="1" customWidth="1"/>
    <col min="12" max="13" width="8.140625" style="3" hidden="1" customWidth="1"/>
    <col min="14" max="14" width="16.5703125" style="3" hidden="1" customWidth="1"/>
    <col min="15" max="15" width="10" style="3" hidden="1" customWidth="1"/>
    <col min="16" max="17" width="5.85546875" style="3" hidden="1" customWidth="1"/>
    <col min="18" max="18" width="9.140625" style="3" hidden="1" customWidth="1"/>
    <col min="19" max="19" width="8.85546875" style="3" hidden="1" customWidth="1"/>
    <col min="20" max="20" width="10.85546875" style="3"/>
    <col min="21" max="21" width="13.28515625" style="3" hidden="1" customWidth="1"/>
    <col min="22" max="23" width="10.85546875" style="3"/>
    <col min="24" max="25" width="12.7109375" style="3" bestFit="1" customWidth="1"/>
    <col min="26" max="27" width="21.5703125" style="3" hidden="1" customWidth="1"/>
    <col min="28" max="29" width="22.85546875" style="3" hidden="1" customWidth="1"/>
    <col min="30" max="30" width="14.7109375" style="3" bestFit="1" customWidth="1"/>
    <col min="31" max="31" width="14.7109375" style="3" hidden="1" customWidth="1"/>
    <col min="32" max="32" width="16.7109375" style="3" hidden="1" customWidth="1"/>
    <col min="33" max="33" width="5.85546875" style="3" hidden="1" customWidth="1"/>
    <col min="34" max="34" width="13.7109375" style="3" customWidth="1"/>
    <col min="35" max="35" width="10.7109375" style="3" bestFit="1" customWidth="1"/>
    <col min="36" max="36" width="20" style="3" bestFit="1" customWidth="1"/>
    <col min="37" max="37" width="14.85546875" style="3" bestFit="1" customWidth="1"/>
    <col min="38" max="38" width="14.5703125" style="3" bestFit="1" customWidth="1"/>
    <col min="39" max="39" width="10.85546875" style="3"/>
    <col min="40" max="16384" width="10.85546875" style="2"/>
  </cols>
  <sheetData>
    <row r="1" spans="1:39" x14ac:dyDescent="0.25">
      <c r="A1" s="1" t="s">
        <v>1</v>
      </c>
      <c r="B1" s="2">
        <v>5</v>
      </c>
      <c r="C1" s="3" t="s">
        <v>2</v>
      </c>
    </row>
    <row r="2" spans="1:39" x14ac:dyDescent="0.25">
      <c r="A2" s="1" t="s">
        <v>3</v>
      </c>
      <c r="B2" s="2">
        <v>998</v>
      </c>
      <c r="C2" s="3" t="s">
        <v>4</v>
      </c>
    </row>
    <row r="3" spans="1:39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39" x14ac:dyDescent="0.25">
      <c r="A4" s="1" t="s">
        <v>17</v>
      </c>
      <c r="B4" s="2">
        <v>1.502</v>
      </c>
      <c r="C4" s="3" t="s">
        <v>18</v>
      </c>
    </row>
    <row r="5" spans="1:39" x14ac:dyDescent="0.25">
      <c r="A5" s="1" t="s">
        <v>25</v>
      </c>
      <c r="B5" s="2">
        <f>50.8*10^(-3)</f>
        <v>5.0799999999999998E-2</v>
      </c>
      <c r="C5" s="3" t="s">
        <v>35</v>
      </c>
    </row>
    <row r="6" spans="1:39" x14ac:dyDescent="0.25">
      <c r="A6" s="1" t="s">
        <v>26</v>
      </c>
      <c r="B6" s="2">
        <f>38.1*10^(-3)</f>
        <v>3.8100000000000002E-2</v>
      </c>
      <c r="C6" s="3" t="s">
        <v>35</v>
      </c>
    </row>
    <row r="7" spans="1:39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39" x14ac:dyDescent="0.25">
      <c r="A8" s="1" t="s">
        <v>34</v>
      </c>
      <c r="B8" s="2">
        <f>9*10^(-3)</f>
        <v>9.0000000000000011E-3</v>
      </c>
      <c r="C8" s="3" t="s">
        <v>35</v>
      </c>
    </row>
    <row r="9" spans="1:39" x14ac:dyDescent="0.25">
      <c r="A9" s="1" t="s">
        <v>36</v>
      </c>
      <c r="B9" s="2">
        <v>8.5000000000000006E-3</v>
      </c>
      <c r="C9" s="3" t="s">
        <v>35</v>
      </c>
    </row>
    <row r="10" spans="1:39" ht="15.75" customHeight="1" x14ac:dyDescent="0.25">
      <c r="A10" s="1" t="s">
        <v>32</v>
      </c>
      <c r="B10" s="2">
        <v>5</v>
      </c>
    </row>
    <row r="11" spans="1:39" x14ac:dyDescent="0.25">
      <c r="M11" s="11"/>
      <c r="N11" s="11"/>
    </row>
    <row r="12" spans="1:39" x14ac:dyDescent="0.25">
      <c r="B12" s="4"/>
      <c r="M12" s="11"/>
      <c r="N12" s="11"/>
      <c r="Y12" s="3" t="s">
        <v>54</v>
      </c>
      <c r="AK12" s="3" t="s">
        <v>55</v>
      </c>
    </row>
    <row r="13" spans="1:39" ht="15.75" customHeight="1" x14ac:dyDescent="0.25">
      <c r="D13" s="48" t="s">
        <v>7</v>
      </c>
      <c r="E13" s="48"/>
      <c r="G13" s="49" t="s">
        <v>9</v>
      </c>
      <c r="H13" s="49"/>
      <c r="I13" s="49"/>
      <c r="L13" s="48" t="s">
        <v>24</v>
      </c>
      <c r="M13" s="48"/>
      <c r="R13" s="3" t="s">
        <v>40</v>
      </c>
      <c r="S13" s="23" t="s">
        <v>41</v>
      </c>
      <c r="Z13" s="49" t="s">
        <v>70</v>
      </c>
      <c r="AA13" s="49"/>
      <c r="AB13" s="49" t="s">
        <v>71</v>
      </c>
      <c r="AC13" s="49"/>
      <c r="AD13" s="49" t="s">
        <v>74</v>
      </c>
      <c r="AE13" s="49"/>
      <c r="AF13" s="49" t="s">
        <v>76</v>
      </c>
      <c r="AG13" s="49"/>
    </row>
    <row r="14" spans="1:39" s="16" customFormat="1" ht="63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50" t="s">
        <v>16</v>
      </c>
      <c r="H14" s="50"/>
      <c r="I14" s="50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4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4" t="s">
        <v>53</v>
      </c>
      <c r="AJ14" s="17" t="s">
        <v>56</v>
      </c>
      <c r="AK14" s="17" t="s">
        <v>57</v>
      </c>
      <c r="AL14" s="17" t="s">
        <v>58</v>
      </c>
      <c r="AM14" s="17" t="s">
        <v>60</v>
      </c>
    </row>
    <row r="15" spans="1:39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3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3" t="s">
        <v>29</v>
      </c>
      <c r="AJ15" s="3" t="s">
        <v>31</v>
      </c>
      <c r="AK15" s="3" t="s">
        <v>31</v>
      </c>
    </row>
    <row r="16" spans="1:39" x14ac:dyDescent="0.25">
      <c r="A16" s="2" t="s">
        <v>63</v>
      </c>
      <c r="B16" s="1" t="s">
        <v>10</v>
      </c>
      <c r="C16" s="3">
        <v>1800</v>
      </c>
      <c r="D16" s="7">
        <v>0.72</v>
      </c>
      <c r="E16" s="13">
        <v>0</v>
      </c>
      <c r="F16" s="7">
        <v>8.75</v>
      </c>
      <c r="G16" s="7">
        <v>28.27</v>
      </c>
      <c r="H16" s="7">
        <v>28.33</v>
      </c>
      <c r="I16" s="7">
        <v>28.47</v>
      </c>
      <c r="J16" s="15">
        <f>AVERAGE(G16:I16)</f>
        <v>28.356666666666666</v>
      </c>
      <c r="K16" s="9">
        <f>$D$3/$B$2/J16</f>
        <v>3.2056059927542875E-3</v>
      </c>
      <c r="L16" s="7">
        <f>5*D16/($B$2*9.81)*6894.76</f>
        <v>2.5352576713059145</v>
      </c>
      <c r="M16" s="13">
        <f>5*E16/($B$2*9.81)*6894.76</f>
        <v>0</v>
      </c>
      <c r="N16" s="7">
        <f>IF(M16=0, L16, AVERAGE(L16:M16))</f>
        <v>2.5352576713059145</v>
      </c>
      <c r="O16" s="7">
        <f>N16+8*K16^2/(PI()^2*$B$6^4*9.81)*(1-($B$6/$B$5)^4)</f>
        <v>2.8107057183583408</v>
      </c>
      <c r="P16" s="8">
        <f t="shared" ref="P16:P30" si="0">$B$7/2*2*PI()/60*C16</f>
        <v>10.178760197630929</v>
      </c>
      <c r="Q16" s="8">
        <f t="shared" ref="Q16:Q31" si="1">K16/($B$8*(2*PI()*$B$7/2-$B$10*$B$9))</f>
        <v>1.2000944625647112</v>
      </c>
      <c r="R16" s="22">
        <f>O16*9.81/P16^2</f>
        <v>0.26613048094757064</v>
      </c>
      <c r="S16" s="25">
        <f>Q16/P16</f>
        <v>0.11790183079900331</v>
      </c>
      <c r="T16" s="19">
        <f>_xlfn.STDEV.S(G16:I16)</f>
        <v>0.10263202878893746</v>
      </c>
      <c r="U16" s="3">
        <f>-_xlfn.T.INV(0.025, 2)</f>
        <v>4.3026527297494637</v>
      </c>
      <c r="V16" s="19">
        <f>T16*U16/SQRT(COUNT(G16:I16))</f>
        <v>0.25495209314804523</v>
      </c>
      <c r="W16" s="3">
        <v>0.1</v>
      </c>
      <c r="X16" s="15">
        <f>SQRT(V16^2+W16^2)</f>
        <v>0.27386231905935787</v>
      </c>
      <c r="Y16" s="21">
        <f>IFERROR(K16*(X16/J16), 0)</f>
        <v>3.0959022845877431E-5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3.5211912101471038E-2</v>
      </c>
      <c r="AG16" s="15">
        <f>M16*AE16</f>
        <v>0</v>
      </c>
      <c r="AH16" s="15">
        <f>AF16</f>
        <v>3.5211912101471038E-2</v>
      </c>
      <c r="AI16" s="15">
        <f t="shared" ref="AI16:AI26" si="2">SQRT(AH16^2+(16*K16/(PI()^2*$B$6^4*9.81)*(1-($B$6/$B$5)^(4))*Y16)^2)</f>
        <v>3.5611595547366523E-2</v>
      </c>
      <c r="AJ16" s="3">
        <v>0</v>
      </c>
      <c r="AK16" s="22">
        <f>IFERROR(Q16*Y16/K16, 0)</f>
        <v>1.1590242833252575E-2</v>
      </c>
      <c r="AL16" s="22">
        <f>R16*AI16/O16</f>
        <v>3.371868847182791E-3</v>
      </c>
      <c r="AM16" s="19">
        <f>IFERROR(S16*AK16/Q16, 0)</f>
        <v>1.1386694065108405E-3</v>
      </c>
    </row>
    <row r="17" spans="1:39" x14ac:dyDescent="0.25">
      <c r="A17" s="2" t="s">
        <v>63</v>
      </c>
      <c r="B17" s="1" t="s">
        <v>11</v>
      </c>
      <c r="C17" s="3">
        <v>1800</v>
      </c>
      <c r="D17" s="7">
        <v>0.86</v>
      </c>
      <c r="E17" s="13">
        <v>0</v>
      </c>
      <c r="F17" s="7">
        <v>8.6</v>
      </c>
      <c r="G17" s="7">
        <v>30.46</v>
      </c>
      <c r="H17" s="7">
        <v>30.6</v>
      </c>
      <c r="I17" s="7">
        <v>30.78</v>
      </c>
      <c r="J17" s="15">
        <f t="shared" ref="J17:J35" si="3">AVERAGE(G17:I17)</f>
        <v>30.613333333333333</v>
      </c>
      <c r="K17" s="9">
        <f>$D$3/$B$2/J17</f>
        <v>2.9693042443772566E-3</v>
      </c>
      <c r="L17" s="7">
        <f t="shared" ref="L17:M30" si="4">5*D17/($B$2*9.81)*6894.76</f>
        <v>3.0282244407265089</v>
      </c>
      <c r="M17" s="13">
        <f t="shared" si="4"/>
        <v>0</v>
      </c>
      <c r="N17" s="7">
        <f t="shared" ref="N17:N31" si="5">IF(M17=0, L17, AVERAGE(L17:M17))</f>
        <v>3.0282244407265089</v>
      </c>
      <c r="O17" s="7">
        <f t="shared" ref="O17:O27" si="6">N17+8*K17^2/(PI()^2*$B$6^4*9.81)*(1-($B$6/$B$5)^4)</f>
        <v>3.2645598596721812</v>
      </c>
      <c r="P17" s="8">
        <f t="shared" si="0"/>
        <v>10.178760197630929</v>
      </c>
      <c r="Q17" s="8">
        <f t="shared" si="1"/>
        <v>1.1116293110886322</v>
      </c>
      <c r="R17" s="22">
        <f t="shared" ref="R17:R35" si="7">O17*9.81/P17^2</f>
        <v>0.30910346816533096</v>
      </c>
      <c r="S17" s="25">
        <f t="shared" ref="S17:S35" si="8">Q17/P17</f>
        <v>0.109210678855305</v>
      </c>
      <c r="T17" s="19">
        <f t="shared" ref="T17:T35" si="9">_xlfn.STDEV.S(G17:I17)</f>
        <v>0.16041612554021298</v>
      </c>
      <c r="U17" s="3">
        <f t="shared" ref="U17:U49" si="10">-_xlfn.T.INV(0.025, 2)</f>
        <v>4.3026527297494637</v>
      </c>
      <c r="V17" s="19">
        <f t="shared" ref="V17:V35" si="11">T17*U17/SQRT(COUNT(G17:I17))</f>
        <v>0.39849574702731849</v>
      </c>
      <c r="W17" s="3">
        <v>0.1</v>
      </c>
      <c r="X17" s="15">
        <f t="shared" ref="X17:X35" si="12">SQRT(V17^2+W17^2)</f>
        <v>0.41085138480825478</v>
      </c>
      <c r="Y17" s="21">
        <f t="shared" ref="Y17:Y35" si="13">IFERROR(K17*(X17/J17), 0)</f>
        <v>3.9850046626287818E-5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E31" si="14">SQRT(Z17^2+AB17^2)</f>
        <v>0.01</v>
      </c>
      <c r="AE17" s="3">
        <f t="shared" si="14"/>
        <v>0.01</v>
      </c>
      <c r="AF17" s="15">
        <f>L17*AD17/D17</f>
        <v>3.5211912101471038E-2</v>
      </c>
      <c r="AG17" s="15">
        <f t="shared" ref="AG17:AG27" si="15">M17*AE17</f>
        <v>0</v>
      </c>
      <c r="AH17" s="15">
        <f t="shared" ref="AH17:AH27" si="16">AF17</f>
        <v>3.5211912101471038E-2</v>
      </c>
      <c r="AI17" s="15">
        <f t="shared" si="2"/>
        <v>3.5778757485663976E-2</v>
      </c>
      <c r="AJ17" s="3">
        <v>0</v>
      </c>
      <c r="AK17" s="22">
        <f t="shared" ref="AK17:AK35" si="17">IFERROR(Q17*Y17/K17, 0)</f>
        <v>1.4918807987397999E-2</v>
      </c>
      <c r="AL17" s="22">
        <f t="shared" ref="AL17:AL35" si="18">R17*AI17/O17</f>
        <v>3.3876965045375462E-3</v>
      </c>
      <c r="AM17" s="19">
        <f t="shared" ref="AM17:AM35" si="19">IFERROR(S17*AK17/Q17, 0)</f>
        <v>1.4656802692797793E-3</v>
      </c>
    </row>
    <row r="18" spans="1:39" x14ac:dyDescent="0.25">
      <c r="A18" s="2" t="s">
        <v>63</v>
      </c>
      <c r="B18" s="1" t="s">
        <v>12</v>
      </c>
      <c r="C18" s="3">
        <v>1800</v>
      </c>
      <c r="D18" s="7">
        <v>1.39</v>
      </c>
      <c r="E18" s="13">
        <v>0</v>
      </c>
      <c r="F18" s="7">
        <v>8</v>
      </c>
      <c r="G18" s="7">
        <v>56.76</v>
      </c>
      <c r="H18" s="7">
        <v>55.3</v>
      </c>
      <c r="I18" s="7">
        <v>56.57</v>
      </c>
      <c r="J18" s="15">
        <f t="shared" si="3"/>
        <v>56.21</v>
      </c>
      <c r="K18" s="9">
        <f>$D$3/$B$2/J18</f>
        <v>1.6171553211386303E-3</v>
      </c>
      <c r="L18" s="7">
        <f t="shared" si="4"/>
        <v>4.8944557821044725</v>
      </c>
      <c r="M18" s="13">
        <f t="shared" si="4"/>
        <v>0</v>
      </c>
      <c r="N18" s="7">
        <f t="shared" si="5"/>
        <v>4.8944557821044725</v>
      </c>
      <c r="O18" s="7">
        <f t="shared" si="6"/>
        <v>4.9645565673998284</v>
      </c>
      <c r="P18" s="8">
        <f t="shared" si="0"/>
        <v>10.178760197630929</v>
      </c>
      <c r="Q18" s="7">
        <f t="shared" si="1"/>
        <v>0.60542036369791841</v>
      </c>
      <c r="R18" s="22">
        <f t="shared" si="7"/>
        <v>0.47006693669276278</v>
      </c>
      <c r="S18" s="25">
        <f t="shared" si="8"/>
        <v>5.9478792303096786E-2</v>
      </c>
      <c r="T18" s="19">
        <f t="shared" si="9"/>
        <v>0.79378838489864645</v>
      </c>
      <c r="U18" s="3">
        <f t="shared" si="10"/>
        <v>4.3026527297494637</v>
      </c>
      <c r="V18" s="19">
        <f t="shared" si="11"/>
        <v>1.9718796620761145</v>
      </c>
      <c r="W18" s="3">
        <v>0.1</v>
      </c>
      <c r="X18" s="15">
        <f t="shared" si="12"/>
        <v>1.9744136855556413</v>
      </c>
      <c r="Y18" s="21">
        <f t="shared" si="13"/>
        <v>5.680365767168191E-5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4"/>
        <v>0.01</v>
      </c>
      <c r="AE18" s="3">
        <f t="shared" si="14"/>
        <v>0.01</v>
      </c>
      <c r="AF18" s="15">
        <f t="shared" ref="AF18:AF27" si="20">L18*AD18/D18</f>
        <v>3.5211912101471031E-2</v>
      </c>
      <c r="AG18" s="15">
        <f t="shared" si="15"/>
        <v>0</v>
      </c>
      <c r="AH18" s="15">
        <f t="shared" si="16"/>
        <v>3.5211912101471031E-2</v>
      </c>
      <c r="AI18" s="15">
        <f t="shared" si="2"/>
        <v>3.5554622249745267E-2</v>
      </c>
      <c r="AJ18" s="3">
        <v>0</v>
      </c>
      <c r="AK18" s="10">
        <f t="shared" si="17"/>
        <v>2.1265793481573453E-2</v>
      </c>
      <c r="AL18" s="22">
        <f t="shared" si="18"/>
        <v>3.3664743546188486E-3</v>
      </c>
      <c r="AM18" s="19">
        <f t="shared" si="19"/>
        <v>2.08923219219989E-3</v>
      </c>
    </row>
    <row r="19" spans="1:39" x14ac:dyDescent="0.25">
      <c r="A19" s="2" t="s">
        <v>63</v>
      </c>
      <c r="B19" s="1" t="s">
        <v>13</v>
      </c>
      <c r="C19" s="3">
        <v>1800</v>
      </c>
      <c r="D19" s="7">
        <v>1.54</v>
      </c>
      <c r="E19" s="13">
        <v>0</v>
      </c>
      <c r="F19" s="7">
        <v>5.25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5.4226344636265393</v>
      </c>
      <c r="M19" s="13">
        <f t="shared" si="4"/>
        <v>0</v>
      </c>
      <c r="N19" s="7">
        <f t="shared" si="5"/>
        <v>5.4226344636265393</v>
      </c>
      <c r="O19" s="7">
        <f t="shared" si="6"/>
        <v>5.4226344636265393</v>
      </c>
      <c r="P19" s="8">
        <f t="shared" si="0"/>
        <v>10.178760197630929</v>
      </c>
      <c r="Q19" s="7">
        <f t="shared" si="1"/>
        <v>0</v>
      </c>
      <c r="R19" s="22">
        <f t="shared" si="7"/>
        <v>0.51343984835619705</v>
      </c>
      <c r="S19" s="25">
        <f t="shared" si="8"/>
        <v>0</v>
      </c>
      <c r="T19" s="19">
        <f t="shared" si="9"/>
        <v>0</v>
      </c>
      <c r="U19" s="3">
        <f t="shared" si="10"/>
        <v>4.3026527297494637</v>
      </c>
      <c r="V19" s="19">
        <f t="shared" si="11"/>
        <v>0</v>
      </c>
      <c r="W19" s="19">
        <v>0</v>
      </c>
      <c r="X19" s="15">
        <f t="shared" si="12"/>
        <v>0</v>
      </c>
      <c r="Y19" s="15">
        <f t="shared" si="13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4"/>
        <v>0.01</v>
      </c>
      <c r="AE19" s="3">
        <f t="shared" si="14"/>
        <v>0.01</v>
      </c>
      <c r="AF19" s="15">
        <f t="shared" si="20"/>
        <v>3.5211912101471038E-2</v>
      </c>
      <c r="AG19" s="15">
        <f t="shared" si="15"/>
        <v>0</v>
      </c>
      <c r="AH19" s="15">
        <f t="shared" si="16"/>
        <v>3.5211912101471038E-2</v>
      </c>
      <c r="AI19" s="15">
        <f t="shared" si="2"/>
        <v>3.5211912101471038E-2</v>
      </c>
      <c r="AJ19" s="3">
        <v>0</v>
      </c>
      <c r="AK19" s="15">
        <f t="shared" si="17"/>
        <v>0</v>
      </c>
      <c r="AL19" s="22">
        <f t="shared" si="18"/>
        <v>3.334024989325955E-3</v>
      </c>
      <c r="AM19" s="19">
        <f t="shared" si="19"/>
        <v>0</v>
      </c>
    </row>
    <row r="20" spans="1:39" x14ac:dyDescent="0.25">
      <c r="A20" s="2" t="s">
        <v>63</v>
      </c>
      <c r="B20" s="1" t="s">
        <v>10</v>
      </c>
      <c r="C20" s="3">
        <v>2700</v>
      </c>
      <c r="D20" s="7">
        <v>1.47</v>
      </c>
      <c r="E20" s="13">
        <v>0</v>
      </c>
      <c r="F20" s="7">
        <v>16.5</v>
      </c>
      <c r="G20" s="7">
        <v>18.37</v>
      </c>
      <c r="H20" s="7">
        <v>18.45</v>
      </c>
      <c r="I20" s="7">
        <v>18.350000000000001</v>
      </c>
      <c r="J20" s="15">
        <f t="shared" si="3"/>
        <v>18.39</v>
      </c>
      <c r="K20" s="9">
        <f>$D$3/$B$2/J20</f>
        <v>4.9429200979446662E-3</v>
      </c>
      <c r="L20" s="7">
        <f t="shared" si="4"/>
        <v>5.1761510789162415</v>
      </c>
      <c r="M20" s="13">
        <f t="shared" si="4"/>
        <v>0</v>
      </c>
      <c r="N20" s="7">
        <f t="shared" si="5"/>
        <v>5.1761510789162415</v>
      </c>
      <c r="O20" s="7">
        <f t="shared" si="6"/>
        <v>5.8310685787662226</v>
      </c>
      <c r="P20" s="8">
        <f t="shared" si="0"/>
        <v>15.268140296446393</v>
      </c>
      <c r="Q20" s="8">
        <f t="shared" si="1"/>
        <v>1.8504991105742248</v>
      </c>
      <c r="R20" s="22">
        <f t="shared" si="7"/>
        <v>0.24538322650025129</v>
      </c>
      <c r="S20" s="25">
        <f t="shared" si="8"/>
        <v>0.12120003318314557</v>
      </c>
      <c r="T20" s="19">
        <f t="shared" si="9"/>
        <v>5.2915026221290684E-2</v>
      </c>
      <c r="U20" s="3">
        <f t="shared" si="10"/>
        <v>4.3026527297494637</v>
      </c>
      <c r="V20" s="19">
        <f t="shared" si="11"/>
        <v>0.13144821215456581</v>
      </c>
      <c r="W20" s="3">
        <v>0.1</v>
      </c>
      <c r="X20" s="15">
        <f t="shared" si="12"/>
        <v>0.16516244270000291</v>
      </c>
      <c r="Y20" s="21">
        <f t="shared" si="13"/>
        <v>4.4392863373979268E-5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4"/>
        <v>0.01</v>
      </c>
      <c r="AE20" s="3">
        <f t="shared" si="14"/>
        <v>0.01</v>
      </c>
      <c r="AF20" s="15">
        <f t="shared" si="20"/>
        <v>3.5211912101471031E-2</v>
      </c>
      <c r="AG20" s="15">
        <f t="shared" si="15"/>
        <v>0</v>
      </c>
      <c r="AH20" s="15">
        <f t="shared" si="16"/>
        <v>3.5211912101471031E-2</v>
      </c>
      <c r="AI20" s="15">
        <f>SQRT(AH20^2+(16*K20/(PI()^2*$B$6^4*9.81)*(1-($B$6/$B$5)^(4))*Y20)^2)</f>
        <v>3.7124988960729514E-2</v>
      </c>
      <c r="AJ20" s="3">
        <v>0</v>
      </c>
      <c r="AK20" s="22">
        <f t="shared" si="17"/>
        <v>1.6619518940544958E-2</v>
      </c>
      <c r="AL20" s="22">
        <f t="shared" si="18"/>
        <v>1.562295049683251E-3</v>
      </c>
      <c r="AM20" s="19">
        <f t="shared" si="19"/>
        <v>1.0885097083115679E-3</v>
      </c>
    </row>
    <row r="21" spans="1:39" x14ac:dyDescent="0.25">
      <c r="A21" s="2" t="s">
        <v>63</v>
      </c>
      <c r="B21" s="1" t="s">
        <v>11</v>
      </c>
      <c r="C21" s="3">
        <v>2700</v>
      </c>
      <c r="D21" s="7">
        <v>2.06</v>
      </c>
      <c r="E21" s="13">
        <v>0</v>
      </c>
      <c r="F21" s="7">
        <v>16</v>
      </c>
      <c r="G21" s="7">
        <v>21.03</v>
      </c>
      <c r="H21" s="7">
        <v>20.71</v>
      </c>
      <c r="I21" s="7">
        <v>21.6</v>
      </c>
      <c r="J21" s="15">
        <f t="shared" si="3"/>
        <v>21.113333333333333</v>
      </c>
      <c r="K21" s="9">
        <f>$D$3/$B$2/J21</f>
        <v>4.3053505178971777E-3</v>
      </c>
      <c r="L21" s="7">
        <f t="shared" si="4"/>
        <v>7.2536538929030332</v>
      </c>
      <c r="M21" s="13">
        <f t="shared" si="4"/>
        <v>0</v>
      </c>
      <c r="N21" s="7">
        <f t="shared" si="5"/>
        <v>7.2536538929030332</v>
      </c>
      <c r="O21" s="7">
        <f t="shared" si="6"/>
        <v>7.7505166501601508</v>
      </c>
      <c r="P21" s="8">
        <f t="shared" si="0"/>
        <v>15.268140296446393</v>
      </c>
      <c r="Q21" s="8">
        <f t="shared" si="1"/>
        <v>1.6118098504954212</v>
      </c>
      <c r="R21" s="22">
        <f t="shared" si="7"/>
        <v>0.32615750560467993</v>
      </c>
      <c r="S21" s="25">
        <f t="shared" si="8"/>
        <v>0.10556687449817083</v>
      </c>
      <c r="T21" s="19">
        <f t="shared" si="9"/>
        <v>0.4508140784551139</v>
      </c>
      <c r="U21" s="3">
        <f t="shared" si="10"/>
        <v>4.3026527297494637</v>
      </c>
      <c r="V21" s="19">
        <f t="shared" si="11"/>
        <v>1.1198842532783209</v>
      </c>
      <c r="W21" s="3">
        <v>0.1</v>
      </c>
      <c r="X21" s="15">
        <f t="shared" si="12"/>
        <v>1.1243401356977087</v>
      </c>
      <c r="Y21" s="21">
        <f t="shared" si="13"/>
        <v>2.2927115813950333E-4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4"/>
        <v>0.01</v>
      </c>
      <c r="AE21" s="3">
        <f t="shared" si="14"/>
        <v>0.01</v>
      </c>
      <c r="AF21" s="15">
        <f t="shared" si="20"/>
        <v>3.5211912101471038E-2</v>
      </c>
      <c r="AG21" s="15">
        <f t="shared" si="15"/>
        <v>0</v>
      </c>
      <c r="AH21" s="15">
        <f t="shared" si="16"/>
        <v>3.5211912101471038E-2</v>
      </c>
      <c r="AI21" s="15">
        <f t="shared" si="2"/>
        <v>6.3562914812840057E-2</v>
      </c>
      <c r="AJ21" s="3">
        <v>0</v>
      </c>
      <c r="AK21" s="22">
        <f t="shared" si="17"/>
        <v>8.5833083645007524E-2</v>
      </c>
      <c r="AL21" s="22">
        <f t="shared" si="18"/>
        <v>2.6748567456971136E-3</v>
      </c>
      <c r="AM21" s="19">
        <f t="shared" si="19"/>
        <v>5.621711746058875E-3</v>
      </c>
    </row>
    <row r="22" spans="1:39" x14ac:dyDescent="0.25">
      <c r="A22" s="2" t="s">
        <v>63</v>
      </c>
      <c r="B22" s="1" t="s">
        <v>12</v>
      </c>
      <c r="C22" s="3">
        <v>2700</v>
      </c>
      <c r="D22" s="7">
        <v>3.21</v>
      </c>
      <c r="E22" s="13">
        <v>0</v>
      </c>
      <c r="F22" s="7">
        <v>14</v>
      </c>
      <c r="G22" s="7">
        <v>40.72</v>
      </c>
      <c r="H22" s="7">
        <v>40.770000000000003</v>
      </c>
      <c r="I22" s="7">
        <v>40.68</v>
      </c>
      <c r="J22" s="15">
        <f t="shared" si="3"/>
        <v>40.723333333333336</v>
      </c>
      <c r="K22" s="9">
        <f>$D$3/$B$2/J22</f>
        <v>2.2321429303724907E-3</v>
      </c>
      <c r="L22" s="7">
        <f t="shared" si="4"/>
        <v>11.303023784572202</v>
      </c>
      <c r="M22" s="13">
        <f t="shared" si="4"/>
        <v>0</v>
      </c>
      <c r="N22" s="7">
        <f t="shared" si="5"/>
        <v>11.303023784572202</v>
      </c>
      <c r="O22" s="8">
        <f t="shared" si="6"/>
        <v>11.436579788241138</v>
      </c>
      <c r="P22" s="8">
        <f t="shared" si="0"/>
        <v>15.268140296446393</v>
      </c>
      <c r="Q22" s="7">
        <f t="shared" si="1"/>
        <v>0.83565552861078796</v>
      </c>
      <c r="R22" s="22">
        <f t="shared" si="7"/>
        <v>0.48127454010495568</v>
      </c>
      <c r="S22" s="25">
        <f t="shared" si="8"/>
        <v>5.4731978642171886E-2</v>
      </c>
      <c r="T22" s="19">
        <f t="shared" si="9"/>
        <v>4.5092497528230739E-2</v>
      </c>
      <c r="U22" s="3">
        <f t="shared" si="10"/>
        <v>4.3026527297494637</v>
      </c>
      <c r="V22" s="19">
        <f t="shared" si="11"/>
        <v>0.11201597362688656</v>
      </c>
      <c r="W22" s="3">
        <v>0.1</v>
      </c>
      <c r="X22" s="15">
        <f t="shared" si="12"/>
        <v>0.15015851073974909</v>
      </c>
      <c r="Y22" s="21">
        <f t="shared" si="13"/>
        <v>8.230545752222132E-6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4"/>
        <v>0.01</v>
      </c>
      <c r="AE22" s="3">
        <f t="shared" si="14"/>
        <v>0.01</v>
      </c>
      <c r="AF22" s="15">
        <f t="shared" si="20"/>
        <v>3.5211912101471038E-2</v>
      </c>
      <c r="AG22" s="15">
        <f t="shared" si="15"/>
        <v>0</v>
      </c>
      <c r="AH22" s="15">
        <f t="shared" si="16"/>
        <v>3.5211912101471038E-2</v>
      </c>
      <c r="AI22" s="15">
        <f t="shared" si="2"/>
        <v>3.5225684055432215E-2</v>
      </c>
      <c r="AJ22" s="3">
        <v>0</v>
      </c>
      <c r="AK22" s="22">
        <f t="shared" si="17"/>
        <v>3.0812995743873381E-3</v>
      </c>
      <c r="AL22" s="22">
        <f t="shared" si="18"/>
        <v>1.4823684359804472E-3</v>
      </c>
      <c r="AM22" s="20">
        <f t="shared" si="19"/>
        <v>2.018123697163367E-4</v>
      </c>
    </row>
    <row r="23" spans="1:39" x14ac:dyDescent="0.25">
      <c r="A23" s="2" t="s">
        <v>63</v>
      </c>
      <c r="B23" s="1" t="s">
        <v>13</v>
      </c>
      <c r="C23" s="3">
        <v>2700</v>
      </c>
      <c r="D23" s="7">
        <v>3.49</v>
      </c>
      <c r="E23" s="13">
        <v>0</v>
      </c>
      <c r="F23" s="7">
        <v>8.6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7">
        <f t="shared" si="4"/>
        <v>12.288957323413394</v>
      </c>
      <c r="M23" s="13">
        <f t="shared" si="4"/>
        <v>0</v>
      </c>
      <c r="N23" s="7">
        <f t="shared" si="5"/>
        <v>12.288957323413394</v>
      </c>
      <c r="O23" s="8">
        <f t="shared" si="6"/>
        <v>12.288957323413394</v>
      </c>
      <c r="P23" s="8">
        <f t="shared" si="0"/>
        <v>15.268140296446393</v>
      </c>
      <c r="Q23" s="7">
        <f t="shared" si="1"/>
        <v>0</v>
      </c>
      <c r="R23" s="22">
        <f t="shared" si="7"/>
        <v>0.51714432056655935</v>
      </c>
      <c r="S23" s="25">
        <f t="shared" si="8"/>
        <v>0</v>
      </c>
      <c r="T23" s="19">
        <f t="shared" si="9"/>
        <v>0</v>
      </c>
      <c r="U23" s="3">
        <f t="shared" si="10"/>
        <v>4.3026527297494637</v>
      </c>
      <c r="V23" s="19">
        <f t="shared" si="11"/>
        <v>0</v>
      </c>
      <c r="W23" s="19">
        <v>0</v>
      </c>
      <c r="X23" s="15">
        <f t="shared" si="12"/>
        <v>0</v>
      </c>
      <c r="Y23" s="15">
        <f t="shared" si="13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4"/>
        <v>0.01</v>
      </c>
      <c r="AE23" s="3">
        <f t="shared" si="14"/>
        <v>0.01</v>
      </c>
      <c r="AF23" s="15">
        <f t="shared" si="20"/>
        <v>3.5211912101471038E-2</v>
      </c>
      <c r="AG23" s="15">
        <f t="shared" si="15"/>
        <v>0</v>
      </c>
      <c r="AH23" s="15">
        <f t="shared" si="16"/>
        <v>3.5211912101471038E-2</v>
      </c>
      <c r="AI23" s="15">
        <f t="shared" si="2"/>
        <v>3.5211912101471038E-2</v>
      </c>
      <c r="AJ23" s="3">
        <v>0</v>
      </c>
      <c r="AK23" s="15">
        <f t="shared" si="17"/>
        <v>0</v>
      </c>
      <c r="AL23" s="22">
        <f t="shared" si="18"/>
        <v>1.481788884144869E-3</v>
      </c>
      <c r="AM23" s="19">
        <f t="shared" si="19"/>
        <v>0</v>
      </c>
    </row>
    <row r="24" spans="1:39" x14ac:dyDescent="0.25">
      <c r="A24" s="2" t="s">
        <v>63</v>
      </c>
      <c r="B24" s="1" t="s">
        <v>10</v>
      </c>
      <c r="C24" s="3">
        <v>3600</v>
      </c>
      <c r="D24" s="7">
        <v>2.4</v>
      </c>
      <c r="E24" s="13">
        <v>0</v>
      </c>
      <c r="F24" s="7">
        <v>26.5</v>
      </c>
      <c r="G24" s="7">
        <v>13.29</v>
      </c>
      <c r="H24" s="7">
        <v>13.77</v>
      </c>
      <c r="I24" s="7">
        <v>13.82</v>
      </c>
      <c r="J24" s="15">
        <f t="shared" si="3"/>
        <v>13.626666666666665</v>
      </c>
      <c r="K24" s="9">
        <f>$D$3/$B$2/J24</f>
        <v>6.6707656996968512E-3</v>
      </c>
      <c r="L24" s="7">
        <f t="shared" si="4"/>
        <v>8.4508589043530478</v>
      </c>
      <c r="M24" s="13">
        <f t="shared" si="4"/>
        <v>0</v>
      </c>
      <c r="N24" s="7">
        <f t="shared" si="5"/>
        <v>8.4508589043530478</v>
      </c>
      <c r="O24" s="7">
        <f t="shared" si="6"/>
        <v>9.643667579144342</v>
      </c>
      <c r="P24" s="8">
        <f t="shared" si="0"/>
        <v>20.357520395261858</v>
      </c>
      <c r="Q24" s="8">
        <f t="shared" si="1"/>
        <v>2.4973590002539137</v>
      </c>
      <c r="R24" s="22">
        <f t="shared" si="7"/>
        <v>0.22827664545002488</v>
      </c>
      <c r="S24" s="25">
        <f t="shared" si="8"/>
        <v>0.12267500912513712</v>
      </c>
      <c r="T24" s="19">
        <f t="shared" si="9"/>
        <v>0.29263173671584841</v>
      </c>
      <c r="U24" s="3">
        <f t="shared" si="10"/>
        <v>4.3026527297494637</v>
      </c>
      <c r="V24" s="19">
        <f t="shared" si="11"/>
        <v>0.72693753283083307</v>
      </c>
      <c r="W24" s="3">
        <v>0.1</v>
      </c>
      <c r="X24" s="15">
        <f t="shared" si="12"/>
        <v>0.733783467133308</v>
      </c>
      <c r="Y24" s="21">
        <f t="shared" si="13"/>
        <v>3.5921459761919052E-4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4"/>
        <v>0.01</v>
      </c>
      <c r="AE24" s="3">
        <f t="shared" si="14"/>
        <v>0.01</v>
      </c>
      <c r="AF24" s="15">
        <f t="shared" si="20"/>
        <v>3.5211912101471038E-2</v>
      </c>
      <c r="AG24" s="15">
        <f t="shared" si="15"/>
        <v>0</v>
      </c>
      <c r="AH24" s="15">
        <f t="shared" si="16"/>
        <v>3.5211912101471038E-2</v>
      </c>
      <c r="AI24" s="15">
        <f t="shared" si="2"/>
        <v>0.13320172010529113</v>
      </c>
      <c r="AJ24" s="3">
        <v>0</v>
      </c>
      <c r="AK24" s="22">
        <f t="shared" si="17"/>
        <v>0.13448048526537831</v>
      </c>
      <c r="AL24" s="22">
        <f t="shared" si="18"/>
        <v>3.1530371183228732E-3</v>
      </c>
      <c r="AM24" s="19">
        <f t="shared" si="19"/>
        <v>6.6059364133894301E-3</v>
      </c>
    </row>
    <row r="25" spans="1:39" x14ac:dyDescent="0.25">
      <c r="A25" s="2" t="s">
        <v>63</v>
      </c>
      <c r="B25" s="1" t="s">
        <v>11</v>
      </c>
      <c r="C25" s="3">
        <v>3600</v>
      </c>
      <c r="D25" s="7">
        <v>3</v>
      </c>
      <c r="E25" s="13">
        <v>0</v>
      </c>
      <c r="F25" s="7">
        <v>26.6</v>
      </c>
      <c r="G25" s="7">
        <v>14.2</v>
      </c>
      <c r="H25" s="7">
        <v>14.79</v>
      </c>
      <c r="I25" s="7">
        <v>14.16</v>
      </c>
      <c r="J25" s="15">
        <f t="shared" si="3"/>
        <v>14.383333333333333</v>
      </c>
      <c r="K25" s="9">
        <f>$D$3/$B$2/J25</f>
        <v>6.3198354995042238E-3</v>
      </c>
      <c r="L25" s="7">
        <f t="shared" si="4"/>
        <v>10.56357363044131</v>
      </c>
      <c r="M25" s="13">
        <f t="shared" si="4"/>
        <v>0</v>
      </c>
      <c r="N25" s="7">
        <f t="shared" si="5"/>
        <v>10.56357363044131</v>
      </c>
      <c r="O25" s="8">
        <f t="shared" si="6"/>
        <v>11.63418281068868</v>
      </c>
      <c r="P25" s="8">
        <f t="shared" si="0"/>
        <v>20.357520395261858</v>
      </c>
      <c r="Q25" s="8">
        <f t="shared" si="1"/>
        <v>2.3659799752115873</v>
      </c>
      <c r="R25" s="22">
        <f t="shared" si="7"/>
        <v>0.27539441843888163</v>
      </c>
      <c r="S25" s="25">
        <f t="shared" si="8"/>
        <v>0.11622142231832228</v>
      </c>
      <c r="T25" s="19">
        <f t="shared" si="9"/>
        <v>0.35275109260402449</v>
      </c>
      <c r="U25" s="3">
        <f t="shared" si="10"/>
        <v>4.3026527297494637</v>
      </c>
      <c r="V25" s="19">
        <f t="shared" si="11"/>
        <v>0.87628229199879049</v>
      </c>
      <c r="W25" s="3">
        <v>0.1</v>
      </c>
      <c r="X25" s="15">
        <f t="shared" si="12"/>
        <v>0.88196975870528205</v>
      </c>
      <c r="Y25" s="21">
        <f t="shared" si="13"/>
        <v>3.8752517663185281E-4</v>
      </c>
      <c r="Z25" s="15">
        <v>0</v>
      </c>
      <c r="AA25" s="15">
        <v>0</v>
      </c>
      <c r="AB25" s="3">
        <v>0.01</v>
      </c>
      <c r="AC25" s="3">
        <v>0.01</v>
      </c>
      <c r="AD25" s="3">
        <f t="shared" si="14"/>
        <v>0.01</v>
      </c>
      <c r="AE25" s="3">
        <f t="shared" si="14"/>
        <v>0.01</v>
      </c>
      <c r="AF25" s="15">
        <f t="shared" si="20"/>
        <v>3.5211912101471031E-2</v>
      </c>
      <c r="AG25" s="15">
        <f t="shared" si="15"/>
        <v>0</v>
      </c>
      <c r="AH25" s="15">
        <f t="shared" si="16"/>
        <v>3.5211912101471031E-2</v>
      </c>
      <c r="AI25" s="14">
        <f t="shared" si="2"/>
        <v>0.13593676888995554</v>
      </c>
      <c r="AJ25" s="3">
        <v>0</v>
      </c>
      <c r="AK25" s="7">
        <f t="shared" si="17"/>
        <v>0.14507922047547342</v>
      </c>
      <c r="AL25" s="22">
        <f t="shared" si="18"/>
        <v>3.2177788523759616E-3</v>
      </c>
      <c r="AM25" s="19">
        <f t="shared" si="19"/>
        <v>7.1265663822810228E-3</v>
      </c>
    </row>
    <row r="26" spans="1:39" x14ac:dyDescent="0.25">
      <c r="A26" s="2" t="s">
        <v>63</v>
      </c>
      <c r="B26" s="1" t="s">
        <v>12</v>
      </c>
      <c r="C26" s="3">
        <v>3600</v>
      </c>
      <c r="D26" s="7">
        <v>5.0999999999999996</v>
      </c>
      <c r="E26" s="13">
        <v>0</v>
      </c>
      <c r="F26" s="7">
        <v>23.9</v>
      </c>
      <c r="G26" s="7">
        <v>23.26</v>
      </c>
      <c r="H26" s="7">
        <v>23.32</v>
      </c>
      <c r="I26" s="7">
        <v>23.28</v>
      </c>
      <c r="J26" s="15">
        <f t="shared" si="3"/>
        <v>23.286666666666665</v>
      </c>
      <c r="K26" s="9">
        <f>$D$3/$B$2/J26</f>
        <v>3.903534237097155E-3</v>
      </c>
      <c r="L26" s="7">
        <f t="shared" si="4"/>
        <v>17.958075171750227</v>
      </c>
      <c r="M26" s="13">
        <f t="shared" si="4"/>
        <v>0</v>
      </c>
      <c r="N26" s="7">
        <f t="shared" si="5"/>
        <v>17.958075171750227</v>
      </c>
      <c r="O26" s="8">
        <f t="shared" si="6"/>
        <v>18.36652188018676</v>
      </c>
      <c r="P26" s="8">
        <f t="shared" si="0"/>
        <v>20.357520395261858</v>
      </c>
      <c r="Q26" s="8">
        <f t="shared" si="1"/>
        <v>1.46138041698225</v>
      </c>
      <c r="R26" s="22">
        <f t="shared" si="7"/>
        <v>0.43475658705414644</v>
      </c>
      <c r="S26" s="25">
        <f t="shared" si="8"/>
        <v>7.1785776882845764E-2</v>
      </c>
      <c r="T26" s="19">
        <f t="shared" si="9"/>
        <v>3.0550504633038281E-2</v>
      </c>
      <c r="U26" s="3">
        <f t="shared" si="10"/>
        <v>4.3026527297494637</v>
      </c>
      <c r="V26" s="19">
        <f t="shared" si="11"/>
        <v>7.5891660671933592E-2</v>
      </c>
      <c r="W26" s="3">
        <v>0.1</v>
      </c>
      <c r="X26" s="15">
        <f t="shared" si="12"/>
        <v>0.12553702306309447</v>
      </c>
      <c r="Y26" s="21">
        <f t="shared" si="13"/>
        <v>2.1043718904238956E-5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4"/>
        <v>0.01</v>
      </c>
      <c r="AE26" s="3">
        <f t="shared" si="14"/>
        <v>0.01</v>
      </c>
      <c r="AF26" s="15">
        <f t="shared" si="20"/>
        <v>3.5211912101471038E-2</v>
      </c>
      <c r="AG26" s="15">
        <f t="shared" si="15"/>
        <v>0</v>
      </c>
      <c r="AH26" s="15">
        <f t="shared" si="16"/>
        <v>3.5211912101471038E-2</v>
      </c>
      <c r="AI26" s="15">
        <f t="shared" si="2"/>
        <v>3.5486228518015847E-2</v>
      </c>
      <c r="AJ26" s="3">
        <v>0</v>
      </c>
      <c r="AK26" s="10">
        <f t="shared" si="17"/>
        <v>7.878214161637075E-3</v>
      </c>
      <c r="AL26" s="22">
        <f t="shared" si="18"/>
        <v>8.3999963077163817E-4</v>
      </c>
      <c r="AM26" s="20">
        <f t="shared" si="19"/>
        <v>3.8699281683984957E-4</v>
      </c>
    </row>
    <row r="27" spans="1:39" x14ac:dyDescent="0.25">
      <c r="A27" s="2" t="s">
        <v>63</v>
      </c>
      <c r="B27" s="1" t="s">
        <v>13</v>
      </c>
      <c r="C27" s="3">
        <v>3600</v>
      </c>
      <c r="D27" s="7">
        <v>6.15</v>
      </c>
      <c r="E27" s="13">
        <v>0</v>
      </c>
      <c r="F27" s="7">
        <v>13.2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7">
        <f t="shared" si="4"/>
        <v>21.655325942404687</v>
      </c>
      <c r="M27" s="13">
        <f t="shared" si="4"/>
        <v>0</v>
      </c>
      <c r="N27" s="7">
        <f t="shared" si="5"/>
        <v>21.655325942404687</v>
      </c>
      <c r="O27" s="8">
        <f t="shared" si="6"/>
        <v>21.655325942404687</v>
      </c>
      <c r="P27" s="8">
        <f t="shared" si="0"/>
        <v>20.357520395261858</v>
      </c>
      <c r="Q27" s="7">
        <f t="shared" si="1"/>
        <v>0</v>
      </c>
      <c r="R27" s="22">
        <f t="shared" si="7"/>
        <v>0.51260634210886558</v>
      </c>
      <c r="S27" s="25">
        <f t="shared" si="8"/>
        <v>0</v>
      </c>
      <c r="T27" s="19">
        <f t="shared" si="9"/>
        <v>0</v>
      </c>
      <c r="U27" s="3">
        <f t="shared" si="10"/>
        <v>4.3026527297494637</v>
      </c>
      <c r="V27" s="19">
        <f t="shared" si="11"/>
        <v>0</v>
      </c>
      <c r="W27" s="19">
        <v>0</v>
      </c>
      <c r="X27" s="15">
        <f t="shared" si="12"/>
        <v>0</v>
      </c>
      <c r="Y27" s="15">
        <f t="shared" si="13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4"/>
        <v>0.01</v>
      </c>
      <c r="AE27" s="3">
        <f t="shared" si="14"/>
        <v>0.01</v>
      </c>
      <c r="AF27" s="15">
        <f t="shared" si="20"/>
        <v>3.5211912101471038E-2</v>
      </c>
      <c r="AG27" s="15">
        <f t="shared" si="15"/>
        <v>0</v>
      </c>
      <c r="AH27" s="15">
        <f t="shared" si="16"/>
        <v>3.5211912101471038E-2</v>
      </c>
      <c r="AI27" s="15">
        <f>SQRT(AH27^2+(16*K27/(PI()^2*$B$6^4*9.81)*(1-($B$6/$B$5)^(4))*Y27)^2)</f>
        <v>3.5211912101471038E-2</v>
      </c>
      <c r="AJ27" s="3">
        <v>0</v>
      </c>
      <c r="AK27" s="15">
        <f t="shared" si="17"/>
        <v>0</v>
      </c>
      <c r="AL27" s="22">
        <f>R27*AI27/O27</f>
        <v>8.3350624733148876E-4</v>
      </c>
      <c r="AM27" s="19">
        <f t="shared" si="19"/>
        <v>0</v>
      </c>
    </row>
    <row r="28" spans="1:39" x14ac:dyDescent="0.25">
      <c r="A28" s="2" t="s">
        <v>64</v>
      </c>
      <c r="B28" s="1" t="s">
        <v>10</v>
      </c>
      <c r="C28" s="3">
        <v>2700</v>
      </c>
      <c r="D28" s="3">
        <v>2.84</v>
      </c>
      <c r="E28" s="3">
        <v>2.76</v>
      </c>
      <c r="F28" s="13">
        <v>0</v>
      </c>
      <c r="G28" s="3">
        <v>12.62</v>
      </c>
      <c r="H28" s="3">
        <v>12.46</v>
      </c>
      <c r="I28" s="3">
        <v>12.33</v>
      </c>
      <c r="J28" s="15">
        <f t="shared" si="3"/>
        <v>12.469999999999999</v>
      </c>
      <c r="K28" s="9">
        <f>$D$3/$B$2/J28</f>
        <v>7.289518893440451E-3</v>
      </c>
      <c r="L28" s="7">
        <f t="shared" si="4"/>
        <v>10.000183036817774</v>
      </c>
      <c r="M28" s="7">
        <f t="shared" si="4"/>
        <v>9.7184877400060046</v>
      </c>
      <c r="N28" s="7">
        <f t="shared" si="5"/>
        <v>9.8593353884118891</v>
      </c>
      <c r="O28" s="8">
        <f t="shared" ref="O28:O35" si="21">N28+8*K28^2/(PI()^2*$B$6^4*9.81)*(1-($B$6/$B$5)^4)</f>
        <v>11.283686788313851</v>
      </c>
      <c r="P28" s="8">
        <f t="shared" si="0"/>
        <v>15.268140296446393</v>
      </c>
      <c r="Q28" s="8">
        <f t="shared" si="1"/>
        <v>2.7290039008388129</v>
      </c>
      <c r="R28" s="22">
        <f t="shared" si="7"/>
        <v>0.47484049167546549</v>
      </c>
      <c r="S28" s="25">
        <f t="shared" si="8"/>
        <v>0.17873846112574557</v>
      </c>
      <c r="T28" s="19">
        <f t="shared" si="9"/>
        <v>0.14525839046333905</v>
      </c>
      <c r="U28" s="3">
        <f t="shared" si="10"/>
        <v>4.3026527297494637</v>
      </c>
      <c r="V28" s="19">
        <f>T28*U28/SQRT(COUNT(G28:I28))</f>
        <v>0.36084184569813516</v>
      </c>
      <c r="W28" s="3">
        <v>0.1</v>
      </c>
      <c r="X28" s="15">
        <f>SQRT(V28^2+W28^2)</f>
        <v>0.37444203504259077</v>
      </c>
      <c r="Y28" s="21">
        <f t="shared" si="13"/>
        <v>2.1888550833530529E-4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4"/>
        <v>0.01</v>
      </c>
      <c r="AE28" s="3">
        <f t="shared" si="14"/>
        <v>0.01</v>
      </c>
      <c r="AF28" s="15">
        <f t="shared" ref="AF28:AG35" si="22">L28*AD28/D28</f>
        <v>3.5211912101471038E-2</v>
      </c>
      <c r="AG28" s="15">
        <f t="shared" si="22"/>
        <v>3.5211912101471031E-2</v>
      </c>
      <c r="AH28" s="15">
        <f>SQRT((AF28/2)^2+(AG28/2)^2)</f>
        <v>2.4898581825494825E-2</v>
      </c>
      <c r="AI28" s="14">
        <f>SQRT(AH28^2+(16*K28/(PI()^2*$B$6^4*9.81)*(1-($B$6/$B$5)^(4))*Y28)^2)</f>
        <v>8.9089267242117229E-2</v>
      </c>
      <c r="AJ28" s="3">
        <v>0</v>
      </c>
      <c r="AK28" s="7">
        <f t="shared" si="17"/>
        <v>8.1944969869226447E-2</v>
      </c>
      <c r="AL28" s="22">
        <f t="shared" si="18"/>
        <v>3.7490575778889867E-3</v>
      </c>
      <c r="AM28" s="19">
        <f t="shared" si="19"/>
        <v>5.36705638526906E-3</v>
      </c>
    </row>
    <row r="29" spans="1:39" x14ac:dyDescent="0.25">
      <c r="A29" s="2" t="s">
        <v>64</v>
      </c>
      <c r="B29" s="1" t="s">
        <v>11</v>
      </c>
      <c r="C29" s="3">
        <v>2700</v>
      </c>
      <c r="D29" s="3">
        <v>3.17</v>
      </c>
      <c r="E29" s="3">
        <v>3.12</v>
      </c>
      <c r="F29" s="13">
        <v>0</v>
      </c>
      <c r="G29" s="3">
        <v>15.95</v>
      </c>
      <c r="H29" s="3">
        <v>15.88</v>
      </c>
      <c r="I29" s="3">
        <v>15.63</v>
      </c>
      <c r="J29" s="15">
        <f t="shared" si="3"/>
        <v>15.82</v>
      </c>
      <c r="K29" s="9">
        <f>$D$3/$B$2/J29</f>
        <v>5.7459102782049564E-3</v>
      </c>
      <c r="L29" s="7">
        <f t="shared" si="4"/>
        <v>11.162176136166316</v>
      </c>
      <c r="M29" s="7">
        <f t="shared" si="4"/>
        <v>10.986116575658963</v>
      </c>
      <c r="N29" s="7">
        <f t="shared" si="5"/>
        <v>11.074146355912639</v>
      </c>
      <c r="O29" s="8">
        <f t="shared" si="21"/>
        <v>11.9591337720281</v>
      </c>
      <c r="P29" s="8">
        <f t="shared" si="0"/>
        <v>15.268140296446393</v>
      </c>
      <c r="Q29" s="8">
        <f t="shared" si="1"/>
        <v>2.1511174869443739</v>
      </c>
      <c r="R29" s="22">
        <f t="shared" si="7"/>
        <v>0.50326467464549918</v>
      </c>
      <c r="S29" s="25">
        <f t="shared" si="8"/>
        <v>0.1408892926825567</v>
      </c>
      <c r="T29" s="19">
        <f t="shared" si="9"/>
        <v>0.16822603841260664</v>
      </c>
      <c r="U29" s="3">
        <f t="shared" si="10"/>
        <v>4.3026527297494637</v>
      </c>
      <c r="V29" s="19">
        <f t="shared" si="11"/>
        <v>0.41789664611911592</v>
      </c>
      <c r="W29" s="3">
        <v>0.1</v>
      </c>
      <c r="X29" s="15">
        <f t="shared" si="12"/>
        <v>0.42969478334930433</v>
      </c>
      <c r="Y29" s="21">
        <f t="shared" si="13"/>
        <v>1.5606748875713147E-4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4"/>
        <v>0.01</v>
      </c>
      <c r="AE29" s="3">
        <f t="shared" si="14"/>
        <v>0.01</v>
      </c>
      <c r="AF29" s="15">
        <f t="shared" si="22"/>
        <v>3.5211912101471031E-2</v>
      </c>
      <c r="AG29" s="15">
        <f t="shared" si="22"/>
        <v>3.5211912101471038E-2</v>
      </c>
      <c r="AH29" s="15">
        <f t="shared" ref="AH29:AH31" si="23">SQRT((AF29/2)^2+(AG29/2)^2)</f>
        <v>2.4898581825494825E-2</v>
      </c>
      <c r="AI29" s="15">
        <f t="shared" ref="AI29:AI35" si="24">SQRT(AH29^2+(16*K29/(PI()^2*$B$6^4*9.81)*(1-($B$6/$B$5)^(4))*Y29)^2)</f>
        <v>5.4140187522833817E-2</v>
      </c>
      <c r="AJ29" s="3">
        <v>0</v>
      </c>
      <c r="AK29" s="22">
        <f t="shared" si="17"/>
        <v>5.8427557680876277E-2</v>
      </c>
      <c r="AL29" s="22">
        <f t="shared" si="18"/>
        <v>2.2783292150017147E-3</v>
      </c>
      <c r="AM29" s="19">
        <f t="shared" si="19"/>
        <v>3.8267632171597936E-3</v>
      </c>
    </row>
    <row r="30" spans="1:39" x14ac:dyDescent="0.25">
      <c r="A30" s="2" t="s">
        <v>64</v>
      </c>
      <c r="B30" s="1" t="s">
        <v>12</v>
      </c>
      <c r="C30" s="3">
        <v>2700</v>
      </c>
      <c r="D30" s="3">
        <v>3.47</v>
      </c>
      <c r="E30" s="3">
        <v>3.52</v>
      </c>
      <c r="F30" s="13">
        <v>0</v>
      </c>
      <c r="G30" s="3">
        <v>36.090000000000003</v>
      </c>
      <c r="H30" s="3">
        <v>36.36</v>
      </c>
      <c r="I30" s="3">
        <v>36.31</v>
      </c>
      <c r="J30" s="15">
        <f t="shared" si="3"/>
        <v>36.253333333333337</v>
      </c>
      <c r="K30" s="9">
        <f t="shared" ref="K30:K34" si="25">$D$3/$B$2/J30</f>
        <v>2.5073639371423978E-3</v>
      </c>
      <c r="L30" s="7">
        <f t="shared" si="4"/>
        <v>12.21853349921045</v>
      </c>
      <c r="M30" s="7">
        <f t="shared" si="4"/>
        <v>12.394593059717804</v>
      </c>
      <c r="N30" s="7">
        <f t="shared" si="5"/>
        <v>12.306563279464127</v>
      </c>
      <c r="O30" s="8">
        <f t="shared" si="21"/>
        <v>12.475084332920341</v>
      </c>
      <c r="P30" s="8">
        <f t="shared" si="0"/>
        <v>15.268140296446393</v>
      </c>
      <c r="Q30" s="7">
        <f t="shared" si="1"/>
        <v>0.93869102547241601</v>
      </c>
      <c r="R30" s="22">
        <f t="shared" si="7"/>
        <v>0.52497692371891691</v>
      </c>
      <c r="S30" s="25">
        <f>Q30/P30</f>
        <v>6.1480377259232617E-2</v>
      </c>
      <c r="T30" s="19">
        <f t="shared" si="9"/>
        <v>0.14364307617609992</v>
      </c>
      <c r="U30" s="3">
        <f t="shared" si="10"/>
        <v>4.3026527297494637</v>
      </c>
      <c r="V30" s="19">
        <f t="shared" si="11"/>
        <v>0.35682918256087537</v>
      </c>
      <c r="W30" s="3">
        <v>0.1</v>
      </c>
      <c r="X30" s="15">
        <f t="shared" si="12"/>
        <v>0.37057666619346463</v>
      </c>
      <c r="Y30" s="21">
        <f t="shared" si="13"/>
        <v>2.5629934776386987E-5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4"/>
        <v>0.01</v>
      </c>
      <c r="AE30" s="3">
        <f t="shared" si="14"/>
        <v>0.01</v>
      </c>
      <c r="AF30" s="15">
        <f t="shared" si="22"/>
        <v>3.5211912101471038E-2</v>
      </c>
      <c r="AG30" s="15">
        <f t="shared" si="22"/>
        <v>3.5211912101471038E-2</v>
      </c>
      <c r="AH30" s="15">
        <f t="shared" si="23"/>
        <v>2.4898581825494828E-2</v>
      </c>
      <c r="AI30" s="15">
        <f t="shared" si="24"/>
        <v>2.5135806564818147E-2</v>
      </c>
      <c r="AJ30" s="3">
        <v>0</v>
      </c>
      <c r="AK30" s="10">
        <f t="shared" si="17"/>
        <v>9.5951726040444784E-3</v>
      </c>
      <c r="AL30" s="22">
        <f t="shared" si="18"/>
        <v>1.0577658678242339E-3</v>
      </c>
      <c r="AM30" s="20">
        <f t="shared" si="19"/>
        <v>6.2844409454881163E-4</v>
      </c>
    </row>
    <row r="31" spans="1:39" x14ac:dyDescent="0.25">
      <c r="A31" s="2" t="s">
        <v>64</v>
      </c>
      <c r="B31" s="1" t="s">
        <v>13</v>
      </c>
      <c r="C31" s="3">
        <v>2700</v>
      </c>
      <c r="D31" s="3">
        <v>3.52</v>
      </c>
      <c r="E31" s="3">
        <v>3.56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3">
        <v>0</v>
      </c>
      <c r="L31" s="7">
        <f>5*D31/($B$2*9.81)*6894.76</f>
        <v>12.394593059717804</v>
      </c>
      <c r="M31" s="7">
        <f>5*E31/($B$2*9.81)*6894.76</f>
        <v>12.535440708123687</v>
      </c>
      <c r="N31" s="7">
        <f t="shared" si="5"/>
        <v>12.465016883920747</v>
      </c>
      <c r="O31" s="8">
        <f t="shared" si="21"/>
        <v>12.465016883920747</v>
      </c>
      <c r="P31" s="8">
        <f>$B$7/2*2*PI()/60*C31</f>
        <v>15.268140296446393</v>
      </c>
      <c r="Q31" s="7">
        <f t="shared" si="1"/>
        <v>0</v>
      </c>
      <c r="R31" s="22">
        <f t="shared" si="7"/>
        <v>0.52455326498728361</v>
      </c>
      <c r="S31" s="25">
        <f t="shared" si="8"/>
        <v>0</v>
      </c>
      <c r="T31" s="19">
        <f t="shared" si="9"/>
        <v>0</v>
      </c>
      <c r="U31" s="3">
        <f t="shared" si="10"/>
        <v>4.3026527297494637</v>
      </c>
      <c r="V31" s="19">
        <f t="shared" si="11"/>
        <v>0</v>
      </c>
      <c r="W31" s="19">
        <v>0</v>
      </c>
      <c r="X31" s="15">
        <f t="shared" si="12"/>
        <v>0</v>
      </c>
      <c r="Y31" s="15">
        <f t="shared" si="13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4"/>
        <v>0.01</v>
      </c>
      <c r="AE31" s="3">
        <f t="shared" si="14"/>
        <v>0.01</v>
      </c>
      <c r="AF31" s="15">
        <f t="shared" si="22"/>
        <v>3.5211912101471038E-2</v>
      </c>
      <c r="AG31" s="15">
        <f t="shared" si="22"/>
        <v>3.5211912101471031E-2</v>
      </c>
      <c r="AH31" s="15">
        <f t="shared" si="23"/>
        <v>2.4898581825494825E-2</v>
      </c>
      <c r="AI31" s="15">
        <f t="shared" si="24"/>
        <v>2.4898581825494825E-2</v>
      </c>
      <c r="AJ31" s="3">
        <v>0</v>
      </c>
      <c r="AK31" s="15">
        <f t="shared" si="17"/>
        <v>0</v>
      </c>
      <c r="AL31" s="22">
        <f t="shared" si="18"/>
        <v>1.0477829682656841E-3</v>
      </c>
      <c r="AM31" s="19">
        <f t="shared" si="19"/>
        <v>0</v>
      </c>
    </row>
    <row r="32" spans="1:39" x14ac:dyDescent="0.25">
      <c r="A32" s="2" t="s">
        <v>78</v>
      </c>
      <c r="B32" s="1" t="s">
        <v>10</v>
      </c>
      <c r="C32" s="3">
        <v>2700</v>
      </c>
      <c r="D32" s="3">
        <v>0.63</v>
      </c>
      <c r="E32" s="3">
        <v>1.68</v>
      </c>
      <c r="F32" s="13">
        <v>0</v>
      </c>
      <c r="G32" s="3">
        <v>16.13</v>
      </c>
      <c r="H32" s="3">
        <v>15.97</v>
      </c>
      <c r="I32" s="3">
        <v>16.14</v>
      </c>
      <c r="J32" s="15">
        <f t="shared" si="3"/>
        <v>16.080000000000002</v>
      </c>
      <c r="K32" s="9">
        <f t="shared" si="25"/>
        <v>5.6530037687314927E-3</v>
      </c>
      <c r="L32" s="7">
        <f t="shared" ref="L32:M35" si="26">5*D32/($B$2*9.81)*6894.76</f>
        <v>2.2183504623926749</v>
      </c>
      <c r="M32" s="7">
        <f t="shared" si="26"/>
        <v>5.9156012330471341</v>
      </c>
      <c r="N32" s="7">
        <f>L32+M32</f>
        <v>8.1339516954398086</v>
      </c>
      <c r="O32" s="8">
        <f t="shared" si="21"/>
        <v>8.9905514879921853</v>
      </c>
      <c r="P32" s="8">
        <f t="shared" ref="P32:P35" si="27">$B$7/2*2*PI()/60*C32</f>
        <v>15.268140296446393</v>
      </c>
      <c r="Q32" s="7">
        <f>K32/($B$8*(2*PI()*$B$7/2-$B$10*$B$9))</f>
        <v>2.1163357365335815</v>
      </c>
      <c r="R32" s="22">
        <f t="shared" si="7"/>
        <v>0.37834069387792146</v>
      </c>
      <c r="S32" s="25">
        <f t="shared" si="8"/>
        <v>0.13861123197997802</v>
      </c>
      <c r="T32" s="19">
        <f t="shared" si="9"/>
        <v>9.5393920141694108E-2</v>
      </c>
      <c r="U32" s="3">
        <f t="shared" si="10"/>
        <v>4.3026527297494637</v>
      </c>
      <c r="V32" s="19">
        <f t="shared" si="11"/>
        <v>0.23697163449568184</v>
      </c>
      <c r="W32" s="3">
        <v>0.1</v>
      </c>
      <c r="X32" s="15">
        <f t="shared" si="12"/>
        <v>0.25720722298480464</v>
      </c>
      <c r="Y32" s="21">
        <f t="shared" si="13"/>
        <v>9.0422475178983952E-5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ref="AD32:AE35" si="28">SQRT(Z32^2+AB32^2)</f>
        <v>0.01</v>
      </c>
      <c r="AE32" s="3">
        <f t="shared" si="28"/>
        <v>0.01</v>
      </c>
      <c r="AF32" s="15">
        <f t="shared" si="22"/>
        <v>3.5211912101471031E-2</v>
      </c>
      <c r="AG32" s="15">
        <f t="shared" si="22"/>
        <v>3.5211912101471038E-2</v>
      </c>
      <c r="AH32" s="15">
        <f>SQRT(AF32^2+AG32^2)</f>
        <v>4.979716365098965E-2</v>
      </c>
      <c r="AI32" s="14">
        <f t="shared" si="24"/>
        <v>5.6839299837050321E-2</v>
      </c>
      <c r="AJ32" s="3">
        <v>0</v>
      </c>
      <c r="AK32" s="7">
        <f t="shared" si="17"/>
        <v>3.3851793389135798E-2</v>
      </c>
      <c r="AL32" s="22">
        <f t="shared" si="18"/>
        <v>2.3919133513229415E-3</v>
      </c>
      <c r="AM32" s="19">
        <f t="shared" si="19"/>
        <v>2.217152366422431E-3</v>
      </c>
    </row>
    <row r="33" spans="1:39" x14ac:dyDescent="0.25">
      <c r="A33" s="2" t="s">
        <v>78</v>
      </c>
      <c r="B33" s="1" t="s">
        <v>11</v>
      </c>
      <c r="C33" s="3">
        <v>2700</v>
      </c>
      <c r="D33" s="3">
        <v>0.9</v>
      </c>
      <c r="E33" s="3">
        <v>1.89</v>
      </c>
      <c r="F33" s="13">
        <v>0</v>
      </c>
      <c r="G33" s="3">
        <v>17</v>
      </c>
      <c r="H33" s="3">
        <v>16.91</v>
      </c>
      <c r="I33" s="3">
        <v>17.329999999999998</v>
      </c>
      <c r="J33" s="15">
        <f t="shared" si="3"/>
        <v>17.079999999999998</v>
      </c>
      <c r="K33" s="9">
        <f t="shared" si="25"/>
        <v>5.3220316511242635E-3</v>
      </c>
      <c r="L33" s="7">
        <f t="shared" si="26"/>
        <v>3.1690720891323929</v>
      </c>
      <c r="M33" s="7">
        <f t="shared" si="26"/>
        <v>6.655051387178025</v>
      </c>
      <c r="N33" s="7">
        <f t="shared" ref="N33:N35" si="29">L33+M33</f>
        <v>9.8241234763104188</v>
      </c>
      <c r="O33" s="8">
        <f t="shared" si="21"/>
        <v>10.583355155723098</v>
      </c>
      <c r="P33" s="8">
        <f t="shared" si="27"/>
        <v>15.268140296446393</v>
      </c>
      <c r="Q33" s="7">
        <f t="shared" ref="Q33:Q35" si="30">K33/($B$8*(2*PI()*$B$7/2-$B$10*$B$9))</f>
        <v>1.9924284920058546</v>
      </c>
      <c r="R33" s="22">
        <f t="shared" si="7"/>
        <v>0.44536911206400009</v>
      </c>
      <c r="S33" s="25">
        <f t="shared" si="8"/>
        <v>0.13049582027154841</v>
      </c>
      <c r="T33" s="19">
        <f t="shared" si="9"/>
        <v>0.22113344387495878</v>
      </c>
      <c r="U33" s="3">
        <f t="shared" si="10"/>
        <v>4.3026527297494637</v>
      </c>
      <c r="V33" s="19">
        <f t="shared" si="11"/>
        <v>0.54932592725901042</v>
      </c>
      <c r="W33" s="3">
        <v>0.1</v>
      </c>
      <c r="X33" s="15">
        <f t="shared" si="12"/>
        <v>0.55835380750826047</v>
      </c>
      <c r="Y33" s="21">
        <f t="shared" si="13"/>
        <v>1.739798967262709E-4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28"/>
        <v>0.01</v>
      </c>
      <c r="AE33" s="3">
        <f t="shared" si="28"/>
        <v>0.01</v>
      </c>
      <c r="AF33" s="15">
        <f t="shared" si="22"/>
        <v>3.5211912101471031E-2</v>
      </c>
      <c r="AG33" s="15">
        <f t="shared" si="22"/>
        <v>3.5211912101471031E-2</v>
      </c>
      <c r="AH33" s="15">
        <f t="shared" ref="AH33:AH35" si="31">SQRT(AF33^2+AG33^2)</f>
        <v>4.9797163650989643E-2</v>
      </c>
      <c r="AI33" s="15">
        <f t="shared" si="24"/>
        <v>7.0312309250328553E-2</v>
      </c>
      <c r="AJ33" s="3">
        <v>0</v>
      </c>
      <c r="AK33" s="22">
        <f t="shared" si="17"/>
        <v>6.5133491492939732E-2</v>
      </c>
      <c r="AL33" s="22">
        <f t="shared" si="18"/>
        <v>2.9588849922563758E-3</v>
      </c>
      <c r="AM33" s="19">
        <f t="shared" si="19"/>
        <v>4.2659741283684249E-3</v>
      </c>
    </row>
    <row r="34" spans="1:39" x14ac:dyDescent="0.25">
      <c r="A34" s="2" t="s">
        <v>78</v>
      </c>
      <c r="B34" s="1" t="s">
        <v>12</v>
      </c>
      <c r="C34" s="3">
        <v>2700</v>
      </c>
      <c r="D34" s="3">
        <v>1.87</v>
      </c>
      <c r="E34" s="3">
        <v>2.59</v>
      </c>
      <c r="F34" s="13">
        <v>0</v>
      </c>
      <c r="G34" s="3">
        <v>20.57</v>
      </c>
      <c r="H34" s="3">
        <v>20.51</v>
      </c>
      <c r="I34" s="3">
        <v>20.64</v>
      </c>
      <c r="J34" s="15">
        <f t="shared" si="3"/>
        <v>20.573333333333334</v>
      </c>
      <c r="K34" s="9">
        <f t="shared" si="25"/>
        <v>4.4183555055671937E-3</v>
      </c>
      <c r="L34" s="7">
        <f t="shared" si="26"/>
        <v>6.5846275629750837</v>
      </c>
      <c r="M34" s="7">
        <f t="shared" si="26"/>
        <v>9.1198852342809982</v>
      </c>
      <c r="N34" s="7">
        <f t="shared" si="29"/>
        <v>15.704512797256083</v>
      </c>
      <c r="O34" s="8">
        <f t="shared" si="21"/>
        <v>16.227800740288465</v>
      </c>
      <c r="P34" s="8">
        <f t="shared" si="27"/>
        <v>15.268140296446393</v>
      </c>
      <c r="Q34" s="7">
        <f t="shared" si="30"/>
        <v>1.6541159418402456</v>
      </c>
      <c r="R34" s="22">
        <f t="shared" si="7"/>
        <v>0.68289886336711481</v>
      </c>
      <c r="S34" s="25">
        <f t="shared" si="8"/>
        <v>0.10833774839135027</v>
      </c>
      <c r="T34" s="19">
        <f t="shared" si="9"/>
        <v>6.5064070986476638E-2</v>
      </c>
      <c r="U34" s="3">
        <f t="shared" si="10"/>
        <v>4.3026527297494637</v>
      </c>
      <c r="V34" s="19">
        <f t="shared" si="11"/>
        <v>0.16162811241750719</v>
      </c>
      <c r="W34" s="3">
        <v>0.1</v>
      </c>
      <c r="X34" s="15">
        <f t="shared" si="12"/>
        <v>0.19006221803305975</v>
      </c>
      <c r="Y34" s="21">
        <f t="shared" si="13"/>
        <v>4.0818006194751229E-5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28"/>
        <v>0.01</v>
      </c>
      <c r="AE34" s="3">
        <f t="shared" si="28"/>
        <v>0.01</v>
      </c>
      <c r="AF34" s="15">
        <f t="shared" si="22"/>
        <v>3.5211912101471038E-2</v>
      </c>
      <c r="AG34" s="15">
        <f t="shared" si="22"/>
        <v>3.5211912101471038E-2</v>
      </c>
      <c r="AH34" s="15">
        <f t="shared" si="31"/>
        <v>4.9797163650989656E-2</v>
      </c>
      <c r="AI34" s="15">
        <f t="shared" si="24"/>
        <v>5.0727099119465116E-2</v>
      </c>
      <c r="AJ34" s="3">
        <v>0</v>
      </c>
      <c r="AK34" s="22">
        <f t="shared" si="17"/>
        <v>1.5281186558165946E-2</v>
      </c>
      <c r="AL34" s="22">
        <f t="shared" si="18"/>
        <v>2.1346995125833611E-3</v>
      </c>
      <c r="AM34" s="19">
        <f t="shared" si="19"/>
        <v>1.0008544761487808E-3</v>
      </c>
    </row>
    <row r="35" spans="1:39" x14ac:dyDescent="0.25">
      <c r="A35" s="2" t="s">
        <v>78</v>
      </c>
      <c r="B35" s="1" t="s">
        <v>13</v>
      </c>
      <c r="C35" s="3">
        <v>2700</v>
      </c>
      <c r="D35" s="3">
        <v>3.49</v>
      </c>
      <c r="E35" s="3">
        <v>3.56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3">
        <v>0</v>
      </c>
      <c r="L35" s="7">
        <f t="shared" si="26"/>
        <v>12.288957323413394</v>
      </c>
      <c r="M35" s="7">
        <f t="shared" si="26"/>
        <v>12.535440708123687</v>
      </c>
      <c r="N35" s="7">
        <f t="shared" si="29"/>
        <v>24.824398031537079</v>
      </c>
      <c r="O35" s="8">
        <f t="shared" si="21"/>
        <v>24.824398031537079</v>
      </c>
      <c r="P35" s="8">
        <f t="shared" si="27"/>
        <v>15.268140296446393</v>
      </c>
      <c r="Q35" s="7">
        <f t="shared" si="30"/>
        <v>0</v>
      </c>
      <c r="R35" s="22">
        <f t="shared" si="7"/>
        <v>1.0446611633221325</v>
      </c>
      <c r="S35" s="25">
        <f t="shared" si="8"/>
        <v>0</v>
      </c>
      <c r="T35" s="19">
        <f t="shared" si="9"/>
        <v>0</v>
      </c>
      <c r="U35" s="3">
        <f t="shared" si="10"/>
        <v>4.3026527297494637</v>
      </c>
      <c r="V35" s="19">
        <f t="shared" si="11"/>
        <v>0</v>
      </c>
      <c r="W35" s="19">
        <v>0</v>
      </c>
      <c r="X35" s="15">
        <f t="shared" si="12"/>
        <v>0</v>
      </c>
      <c r="Y35" s="15">
        <f t="shared" si="13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28"/>
        <v>0.01</v>
      </c>
      <c r="AE35" s="3">
        <f t="shared" si="28"/>
        <v>0.01</v>
      </c>
      <c r="AF35" s="15">
        <f t="shared" si="22"/>
        <v>3.5211912101471038E-2</v>
      </c>
      <c r="AG35" s="15">
        <f t="shared" si="22"/>
        <v>3.5211912101471031E-2</v>
      </c>
      <c r="AH35" s="15">
        <f t="shared" si="31"/>
        <v>4.979716365098965E-2</v>
      </c>
      <c r="AI35" s="15">
        <f t="shared" si="24"/>
        <v>4.979716365098965E-2</v>
      </c>
      <c r="AJ35" s="3">
        <v>0</v>
      </c>
      <c r="AK35" s="15">
        <f t="shared" si="17"/>
        <v>0</v>
      </c>
      <c r="AL35" s="22">
        <f t="shared" si="18"/>
        <v>2.0955659365313683E-3</v>
      </c>
      <c r="AM35" s="19">
        <f t="shared" si="19"/>
        <v>0</v>
      </c>
    </row>
    <row r="36" spans="1:39" x14ac:dyDescent="0.25">
      <c r="A36" s="2" t="s">
        <v>63</v>
      </c>
      <c r="B36" s="1" t="s">
        <v>39</v>
      </c>
      <c r="C36" s="3">
        <v>1800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 t="shared" ref="J36:J49" si="32">AVERAGE(G36:I36)</f>
        <v>0</v>
      </c>
      <c r="K36" s="10">
        <v>4.0000000000000001E-3</v>
      </c>
      <c r="L36" s="13">
        <f t="shared" ref="L36:L49" si="33">5*D36/($B$2*9.81)*6894.76</f>
        <v>0</v>
      </c>
      <c r="M36" s="13">
        <f t="shared" ref="M36:M49" si="34">5*E36/($B$2*9.81)*6894.76</f>
        <v>0</v>
      </c>
      <c r="N36" s="13">
        <f t="shared" ref="N36:N49" si="35">IF(M36=0, L36, AVERAGE(L36:M36))</f>
        <v>0</v>
      </c>
      <c r="O36" s="7">
        <v>2.58</v>
      </c>
      <c r="P36" s="8">
        <f t="shared" ref="P36:P49" si="36">$B$7/2*2*PI()/60*C36</f>
        <v>10.178760197630929</v>
      </c>
      <c r="Q36" s="8">
        <f t="shared" ref="Q36:Q49" si="37">K36/($B$8*(2*PI()*$B$7/2-$B$10*$B$9))</f>
        <v>1.4974946581424107</v>
      </c>
      <c r="R36" s="22">
        <f t="shared" ref="R36:R49" si="38">O36*9.81/P36^2</f>
        <v>0.24428620768088338</v>
      </c>
      <c r="S36" s="25">
        <f t="shared" ref="S36:S49" si="39">Q36/P36</f>
        <v>0.14711955376362509</v>
      </c>
      <c r="T36" s="19">
        <f t="shared" ref="T36:T49" si="40">_xlfn.STDEV.S(G36:I36)</f>
        <v>0</v>
      </c>
      <c r="U36" s="3">
        <f t="shared" si="10"/>
        <v>4.3026527297494637</v>
      </c>
      <c r="V36" s="19">
        <f t="shared" ref="V36:V49" si="41">T36*U36/SQRT(COUNT(G36:I36))</f>
        <v>0</v>
      </c>
      <c r="W36" s="19">
        <v>0</v>
      </c>
      <c r="X36" s="15">
        <f t="shared" ref="X36:X49" si="42">SQRT(V36^2+W36^2)</f>
        <v>0</v>
      </c>
      <c r="Y36" s="15">
        <f t="shared" ref="Y36:Y49" si="43">IFERROR(K36*(X36/J36), 0)</f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 t="shared" ref="AD36:AD49" si="44">SQRT(Z36^2+AB36^2)</f>
        <v>0.01</v>
      </c>
      <c r="AE36" s="3">
        <f t="shared" ref="AE36:AE49" si="45">SQRT(AA36^2+AC36^2)</f>
        <v>0.01</v>
      </c>
      <c r="AF36" s="15">
        <f t="shared" ref="AF36:AF49" si="46">L36*AD36</f>
        <v>0</v>
      </c>
      <c r="AG36" s="15">
        <f t="shared" ref="AG36:AG49" si="47">M36*AE36</f>
        <v>0</v>
      </c>
      <c r="AH36" s="15">
        <v>0</v>
      </c>
      <c r="AI36" s="15">
        <f t="shared" ref="AI36:AI49" si="48">SQRT(AF36^2+(16*K36/(PI()^2*$B$6^4*9.81)*(1-($B$6/$B$5)^(4))*Y36)^2)</f>
        <v>0</v>
      </c>
      <c r="AJ36" s="3">
        <v>0</v>
      </c>
      <c r="AK36" s="15">
        <f t="shared" ref="AK36:AK49" si="49">IFERROR(Q36*Y36/K36, 0)</f>
        <v>0</v>
      </c>
      <c r="AL36" s="15">
        <f t="shared" ref="AL36:AL49" si="50">R36*AI36/O36</f>
        <v>0</v>
      </c>
      <c r="AM36" s="19">
        <f t="shared" ref="AM36:AM49" si="51">IFERROR(S36*AK36/Q36, 0)</f>
        <v>0</v>
      </c>
    </row>
    <row r="37" spans="1:39" x14ac:dyDescent="0.25">
      <c r="A37" s="2" t="s">
        <v>63</v>
      </c>
      <c r="B37" s="1" t="s">
        <v>39</v>
      </c>
      <c r="C37" s="3">
        <v>1800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 t="shared" si="32"/>
        <v>0</v>
      </c>
      <c r="K37" s="10">
        <v>3.3E-3</v>
      </c>
      <c r="L37" s="13">
        <f t="shared" si="33"/>
        <v>0</v>
      </c>
      <c r="M37" s="13">
        <f t="shared" si="34"/>
        <v>0</v>
      </c>
      <c r="N37" s="13">
        <f t="shared" si="35"/>
        <v>0</v>
      </c>
      <c r="O37" s="7">
        <v>4.1399999999999997</v>
      </c>
      <c r="P37" s="8">
        <f t="shared" si="36"/>
        <v>10.178760197630929</v>
      </c>
      <c r="Q37" s="8">
        <f t="shared" si="37"/>
        <v>1.2354330929674888</v>
      </c>
      <c r="R37" s="22">
        <f t="shared" si="38"/>
        <v>0.39199414720885933</v>
      </c>
      <c r="S37" s="25">
        <f t="shared" si="39"/>
        <v>0.12137363185499071</v>
      </c>
      <c r="T37" s="19">
        <f t="shared" si="40"/>
        <v>0</v>
      </c>
      <c r="U37" s="3">
        <f t="shared" si="10"/>
        <v>4.3026527297494637</v>
      </c>
      <c r="V37" s="19">
        <f t="shared" si="41"/>
        <v>0</v>
      </c>
      <c r="W37" s="19">
        <v>0</v>
      </c>
      <c r="X37" s="15">
        <f t="shared" si="42"/>
        <v>0</v>
      </c>
      <c r="Y37" s="15">
        <f t="shared" si="43"/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 t="shared" si="44"/>
        <v>0.01</v>
      </c>
      <c r="AE37" s="3">
        <f t="shared" si="45"/>
        <v>0.01</v>
      </c>
      <c r="AF37" s="15">
        <f t="shared" si="46"/>
        <v>0</v>
      </c>
      <c r="AG37" s="15">
        <f t="shared" si="47"/>
        <v>0</v>
      </c>
      <c r="AH37" s="15">
        <v>0</v>
      </c>
      <c r="AI37" s="15">
        <f t="shared" si="48"/>
        <v>0</v>
      </c>
      <c r="AJ37" s="3">
        <v>0</v>
      </c>
      <c r="AK37" s="15">
        <f t="shared" si="49"/>
        <v>0</v>
      </c>
      <c r="AL37" s="15">
        <f t="shared" si="50"/>
        <v>0</v>
      </c>
      <c r="AM37" s="19">
        <f t="shared" si="51"/>
        <v>0</v>
      </c>
    </row>
    <row r="38" spans="1:39" x14ac:dyDescent="0.25">
      <c r="A38" s="2" t="s">
        <v>63</v>
      </c>
      <c r="B38" s="1" t="s">
        <v>39</v>
      </c>
      <c r="C38" s="3">
        <v>1800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 t="shared" si="32"/>
        <v>0</v>
      </c>
      <c r="K38" s="10">
        <v>2.5999999999999999E-3</v>
      </c>
      <c r="L38" s="13">
        <f t="shared" si="33"/>
        <v>0</v>
      </c>
      <c r="M38" s="13">
        <f t="shared" si="34"/>
        <v>0</v>
      </c>
      <c r="N38" s="13">
        <f t="shared" si="35"/>
        <v>0</v>
      </c>
      <c r="O38" s="7">
        <v>4.96</v>
      </c>
      <c r="P38" s="8">
        <f t="shared" si="36"/>
        <v>10.178760197630929</v>
      </c>
      <c r="Q38" s="8">
        <f t="shared" si="37"/>
        <v>0.97337152779256686</v>
      </c>
      <c r="R38" s="22">
        <f t="shared" si="38"/>
        <v>0.46963550003766724</v>
      </c>
      <c r="S38" s="25">
        <f t="shared" si="39"/>
        <v>9.5627709946356304E-2</v>
      </c>
      <c r="T38" s="19">
        <f t="shared" si="40"/>
        <v>0</v>
      </c>
      <c r="U38" s="3">
        <f t="shared" si="10"/>
        <v>4.3026527297494637</v>
      </c>
      <c r="V38" s="19">
        <f t="shared" si="41"/>
        <v>0</v>
      </c>
      <c r="W38" s="19">
        <v>0</v>
      </c>
      <c r="X38" s="15">
        <f t="shared" si="42"/>
        <v>0</v>
      </c>
      <c r="Y38" s="15">
        <f t="shared" si="43"/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 t="shared" si="44"/>
        <v>0.01</v>
      </c>
      <c r="AE38" s="3">
        <f t="shared" si="45"/>
        <v>0.01</v>
      </c>
      <c r="AF38" s="15">
        <f t="shared" si="46"/>
        <v>0</v>
      </c>
      <c r="AG38" s="15">
        <f t="shared" si="47"/>
        <v>0</v>
      </c>
      <c r="AH38" s="15">
        <v>0</v>
      </c>
      <c r="AI38" s="15">
        <f t="shared" si="48"/>
        <v>0</v>
      </c>
      <c r="AJ38" s="3">
        <v>0</v>
      </c>
      <c r="AK38" s="15">
        <f t="shared" si="49"/>
        <v>0</v>
      </c>
      <c r="AL38" s="15">
        <f t="shared" si="50"/>
        <v>0</v>
      </c>
      <c r="AM38" s="19">
        <f t="shared" si="51"/>
        <v>0</v>
      </c>
    </row>
    <row r="39" spans="1:39" x14ac:dyDescent="0.25">
      <c r="A39" s="2" t="s">
        <v>63</v>
      </c>
      <c r="B39" s="1" t="s">
        <v>39</v>
      </c>
      <c r="C39" s="3">
        <v>1800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 t="shared" si="32"/>
        <v>0</v>
      </c>
      <c r="K39" s="10">
        <v>2E-3</v>
      </c>
      <c r="L39" s="13">
        <f t="shared" si="33"/>
        <v>0</v>
      </c>
      <c r="M39" s="13">
        <f t="shared" si="34"/>
        <v>0</v>
      </c>
      <c r="N39" s="13">
        <f t="shared" si="35"/>
        <v>0</v>
      </c>
      <c r="O39" s="7">
        <v>5.4</v>
      </c>
      <c r="P39" s="8">
        <f t="shared" si="36"/>
        <v>10.178760197630929</v>
      </c>
      <c r="Q39" s="7">
        <f t="shared" si="37"/>
        <v>0.74874732907120534</v>
      </c>
      <c r="R39" s="22">
        <f t="shared" si="38"/>
        <v>0.51129671375068619</v>
      </c>
      <c r="S39" s="25">
        <f t="shared" si="39"/>
        <v>7.3559776881812547E-2</v>
      </c>
      <c r="T39" s="19">
        <f t="shared" si="40"/>
        <v>0</v>
      </c>
      <c r="U39" s="3">
        <f t="shared" si="10"/>
        <v>4.3026527297494637</v>
      </c>
      <c r="V39" s="19">
        <f t="shared" si="41"/>
        <v>0</v>
      </c>
      <c r="W39" s="19">
        <v>0</v>
      </c>
      <c r="X39" s="15">
        <f t="shared" si="42"/>
        <v>0</v>
      </c>
      <c r="Y39" s="15">
        <f t="shared" si="43"/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 t="shared" si="44"/>
        <v>0.01</v>
      </c>
      <c r="AE39" s="3">
        <f t="shared" si="45"/>
        <v>0.01</v>
      </c>
      <c r="AF39" s="15">
        <f t="shared" si="46"/>
        <v>0</v>
      </c>
      <c r="AG39" s="15">
        <f t="shared" si="47"/>
        <v>0</v>
      </c>
      <c r="AH39" s="15">
        <v>0</v>
      </c>
      <c r="AI39" s="15">
        <f t="shared" si="48"/>
        <v>0</v>
      </c>
      <c r="AJ39" s="3">
        <v>0</v>
      </c>
      <c r="AK39" s="15">
        <f t="shared" si="49"/>
        <v>0</v>
      </c>
      <c r="AL39" s="15">
        <f t="shared" si="50"/>
        <v>0</v>
      </c>
      <c r="AM39" s="19">
        <f t="shared" si="51"/>
        <v>0</v>
      </c>
    </row>
    <row r="40" spans="1:39" x14ac:dyDescent="0.25">
      <c r="A40" s="2" t="s">
        <v>63</v>
      </c>
      <c r="B40" s="1" t="s">
        <v>39</v>
      </c>
      <c r="C40" s="3">
        <v>2700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 t="shared" si="32"/>
        <v>0</v>
      </c>
      <c r="K40" s="10">
        <v>6.0000000000000001E-3</v>
      </c>
      <c r="L40" s="13">
        <f t="shared" si="33"/>
        <v>0</v>
      </c>
      <c r="M40" s="13">
        <f t="shared" si="34"/>
        <v>0</v>
      </c>
      <c r="N40" s="13">
        <f t="shared" si="35"/>
        <v>0</v>
      </c>
      <c r="O40" s="7">
        <v>5.77</v>
      </c>
      <c r="P40" s="8">
        <f t="shared" si="36"/>
        <v>15.268140296446393</v>
      </c>
      <c r="Q40" s="8">
        <f t="shared" si="37"/>
        <v>2.2462419872136161</v>
      </c>
      <c r="R40" s="22">
        <f t="shared" si="38"/>
        <v>0.24281333648900894</v>
      </c>
      <c r="S40" s="25">
        <f t="shared" si="39"/>
        <v>0.14711955376362509</v>
      </c>
      <c r="T40" s="19">
        <f t="shared" si="40"/>
        <v>0</v>
      </c>
      <c r="U40" s="3">
        <f t="shared" si="10"/>
        <v>4.3026527297494637</v>
      </c>
      <c r="V40" s="19">
        <f t="shared" si="41"/>
        <v>0</v>
      </c>
      <c r="W40" s="19">
        <v>0</v>
      </c>
      <c r="X40" s="15">
        <f t="shared" si="42"/>
        <v>0</v>
      </c>
      <c r="Y40" s="15">
        <f t="shared" si="43"/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 t="shared" si="44"/>
        <v>0.01</v>
      </c>
      <c r="AE40" s="3">
        <f t="shared" si="45"/>
        <v>0.01</v>
      </c>
      <c r="AF40" s="15">
        <f t="shared" si="46"/>
        <v>0</v>
      </c>
      <c r="AG40" s="15">
        <f t="shared" si="47"/>
        <v>0</v>
      </c>
      <c r="AH40" s="15">
        <v>0</v>
      </c>
      <c r="AI40" s="15">
        <f t="shared" si="48"/>
        <v>0</v>
      </c>
      <c r="AJ40" s="3">
        <v>0</v>
      </c>
      <c r="AK40" s="15">
        <f t="shared" si="49"/>
        <v>0</v>
      </c>
      <c r="AL40" s="15">
        <f t="shared" si="50"/>
        <v>0</v>
      </c>
      <c r="AM40" s="19">
        <f t="shared" si="51"/>
        <v>0</v>
      </c>
    </row>
    <row r="41" spans="1:39" x14ac:dyDescent="0.25">
      <c r="A41" s="2" t="s">
        <v>63</v>
      </c>
      <c r="B41" s="1" t="s">
        <v>39</v>
      </c>
      <c r="C41" s="3">
        <v>2700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 t="shared" si="32"/>
        <v>0</v>
      </c>
      <c r="K41" s="10">
        <v>5.0000000000000001E-3</v>
      </c>
      <c r="L41" s="13">
        <f t="shared" si="33"/>
        <v>0</v>
      </c>
      <c r="M41" s="13">
        <f t="shared" si="34"/>
        <v>0</v>
      </c>
      <c r="N41" s="13">
        <f t="shared" si="35"/>
        <v>0</v>
      </c>
      <c r="O41" s="7">
        <v>9.1199999999999992</v>
      </c>
      <c r="P41" s="8">
        <f t="shared" si="36"/>
        <v>15.268140296446393</v>
      </c>
      <c r="Q41" s="8">
        <f t="shared" si="37"/>
        <v>1.8718683226780133</v>
      </c>
      <c r="R41" s="22">
        <f t="shared" si="38"/>
        <v>0.3837881505684162</v>
      </c>
      <c r="S41" s="25">
        <f t="shared" si="39"/>
        <v>0.12259962813635425</v>
      </c>
      <c r="T41" s="19">
        <f t="shared" si="40"/>
        <v>0</v>
      </c>
      <c r="U41" s="3">
        <f t="shared" si="10"/>
        <v>4.3026527297494637</v>
      </c>
      <c r="V41" s="19">
        <f t="shared" si="41"/>
        <v>0</v>
      </c>
      <c r="W41" s="19">
        <v>0</v>
      </c>
      <c r="X41" s="15">
        <f t="shared" si="42"/>
        <v>0</v>
      </c>
      <c r="Y41" s="15">
        <f t="shared" si="43"/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 t="shared" si="44"/>
        <v>0.01</v>
      </c>
      <c r="AE41" s="3">
        <f t="shared" si="45"/>
        <v>0.01</v>
      </c>
      <c r="AF41" s="15">
        <f t="shared" si="46"/>
        <v>0</v>
      </c>
      <c r="AG41" s="15">
        <f t="shared" si="47"/>
        <v>0</v>
      </c>
      <c r="AH41" s="15">
        <v>0</v>
      </c>
      <c r="AI41" s="15">
        <f t="shared" si="48"/>
        <v>0</v>
      </c>
      <c r="AJ41" s="3">
        <v>0</v>
      </c>
      <c r="AK41" s="15">
        <f t="shared" si="49"/>
        <v>0</v>
      </c>
      <c r="AL41" s="15">
        <f t="shared" si="50"/>
        <v>0</v>
      </c>
      <c r="AM41" s="19">
        <f t="shared" si="51"/>
        <v>0</v>
      </c>
    </row>
    <row r="42" spans="1:39" x14ac:dyDescent="0.25">
      <c r="A42" s="2" t="s">
        <v>63</v>
      </c>
      <c r="B42" s="1" t="s">
        <v>39</v>
      </c>
      <c r="C42" s="3">
        <v>2700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5">
        <f t="shared" si="32"/>
        <v>0</v>
      </c>
      <c r="K42" s="10">
        <v>4.0000000000000001E-3</v>
      </c>
      <c r="L42" s="13">
        <f t="shared" si="33"/>
        <v>0</v>
      </c>
      <c r="M42" s="13">
        <f t="shared" si="34"/>
        <v>0</v>
      </c>
      <c r="N42" s="13">
        <f t="shared" si="35"/>
        <v>0</v>
      </c>
      <c r="O42" s="8">
        <v>11</v>
      </c>
      <c r="P42" s="8">
        <f t="shared" si="36"/>
        <v>15.268140296446393</v>
      </c>
      <c r="Q42" s="8">
        <f t="shared" si="37"/>
        <v>1.4974946581424107</v>
      </c>
      <c r="R42" s="22">
        <f t="shared" si="38"/>
        <v>0.46290237458909855</v>
      </c>
      <c r="S42" s="25">
        <f t="shared" si="39"/>
        <v>9.8079702509083391E-2</v>
      </c>
      <c r="T42" s="19">
        <f t="shared" si="40"/>
        <v>0</v>
      </c>
      <c r="U42" s="3">
        <f t="shared" si="10"/>
        <v>4.3026527297494637</v>
      </c>
      <c r="V42" s="19">
        <f t="shared" si="41"/>
        <v>0</v>
      </c>
      <c r="W42" s="19">
        <v>0</v>
      </c>
      <c r="X42" s="15">
        <f t="shared" si="42"/>
        <v>0</v>
      </c>
      <c r="Y42" s="15">
        <f t="shared" si="43"/>
        <v>0</v>
      </c>
      <c r="Z42" s="15">
        <v>0</v>
      </c>
      <c r="AA42" s="15">
        <v>0</v>
      </c>
      <c r="AB42" s="3">
        <v>0.01</v>
      </c>
      <c r="AC42" s="3">
        <v>0.01</v>
      </c>
      <c r="AD42" s="3">
        <f t="shared" si="44"/>
        <v>0.01</v>
      </c>
      <c r="AE42" s="3">
        <f t="shared" si="45"/>
        <v>0.01</v>
      </c>
      <c r="AF42" s="15">
        <f t="shared" si="46"/>
        <v>0</v>
      </c>
      <c r="AG42" s="15">
        <f t="shared" si="47"/>
        <v>0</v>
      </c>
      <c r="AH42" s="15">
        <v>0</v>
      </c>
      <c r="AI42" s="15">
        <f t="shared" si="48"/>
        <v>0</v>
      </c>
      <c r="AJ42" s="3">
        <v>0</v>
      </c>
      <c r="AK42" s="15">
        <f t="shared" si="49"/>
        <v>0</v>
      </c>
      <c r="AL42" s="15">
        <f t="shared" si="50"/>
        <v>0</v>
      </c>
      <c r="AM42" s="19">
        <f t="shared" si="51"/>
        <v>0</v>
      </c>
    </row>
    <row r="43" spans="1:39" x14ac:dyDescent="0.25">
      <c r="A43" s="2" t="s">
        <v>63</v>
      </c>
      <c r="B43" s="1" t="s">
        <v>39</v>
      </c>
      <c r="C43" s="3">
        <v>2700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5">
        <f t="shared" si="32"/>
        <v>0</v>
      </c>
      <c r="K43" s="10">
        <v>3.0000000000000001E-3</v>
      </c>
      <c r="L43" s="13">
        <f t="shared" si="33"/>
        <v>0</v>
      </c>
      <c r="M43" s="13">
        <f t="shared" si="34"/>
        <v>0</v>
      </c>
      <c r="N43" s="13">
        <f t="shared" si="35"/>
        <v>0</v>
      </c>
      <c r="O43" s="8">
        <v>12.1</v>
      </c>
      <c r="P43" s="8">
        <f t="shared" si="36"/>
        <v>15.268140296446393</v>
      </c>
      <c r="Q43" s="8">
        <f t="shared" si="37"/>
        <v>1.1231209936068081</v>
      </c>
      <c r="R43" s="22">
        <f t="shared" si="38"/>
        <v>0.50919261204800836</v>
      </c>
      <c r="S43" s="25">
        <f t="shared" si="39"/>
        <v>7.3559776881812547E-2</v>
      </c>
      <c r="T43" s="19">
        <f t="shared" si="40"/>
        <v>0</v>
      </c>
      <c r="U43" s="3">
        <f t="shared" si="10"/>
        <v>4.3026527297494637</v>
      </c>
      <c r="V43" s="19">
        <f t="shared" si="41"/>
        <v>0</v>
      </c>
      <c r="W43" s="19">
        <v>0</v>
      </c>
      <c r="X43" s="15">
        <f t="shared" si="42"/>
        <v>0</v>
      </c>
      <c r="Y43" s="15">
        <f t="shared" si="43"/>
        <v>0</v>
      </c>
      <c r="Z43" s="15">
        <v>0</v>
      </c>
      <c r="AA43" s="15">
        <v>0</v>
      </c>
      <c r="AB43" s="3">
        <v>0.01</v>
      </c>
      <c r="AC43" s="3">
        <v>0.01</v>
      </c>
      <c r="AD43" s="3">
        <f t="shared" si="44"/>
        <v>0.01</v>
      </c>
      <c r="AE43" s="3">
        <f t="shared" si="45"/>
        <v>0.01</v>
      </c>
      <c r="AF43" s="15">
        <f t="shared" si="46"/>
        <v>0</v>
      </c>
      <c r="AG43" s="15">
        <f t="shared" si="47"/>
        <v>0</v>
      </c>
      <c r="AH43" s="15">
        <v>0</v>
      </c>
      <c r="AI43" s="15">
        <f t="shared" si="48"/>
        <v>0</v>
      </c>
      <c r="AJ43" s="3">
        <v>0</v>
      </c>
      <c r="AK43" s="15">
        <f t="shared" si="49"/>
        <v>0</v>
      </c>
      <c r="AL43" s="15">
        <f t="shared" si="50"/>
        <v>0</v>
      </c>
      <c r="AM43" s="19">
        <f t="shared" si="51"/>
        <v>0</v>
      </c>
    </row>
    <row r="44" spans="1:39" x14ac:dyDescent="0.25">
      <c r="A44" s="2" t="s">
        <v>63</v>
      </c>
      <c r="B44" s="1" t="s">
        <v>39</v>
      </c>
      <c r="C44" s="3">
        <v>2700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5">
        <f t="shared" si="32"/>
        <v>0</v>
      </c>
      <c r="K44" s="10">
        <v>2E-3</v>
      </c>
      <c r="L44" s="13">
        <f t="shared" si="33"/>
        <v>0</v>
      </c>
      <c r="M44" s="13">
        <f t="shared" si="34"/>
        <v>0</v>
      </c>
      <c r="N44" s="13">
        <f t="shared" si="35"/>
        <v>0</v>
      </c>
      <c r="O44" s="8">
        <v>12.8</v>
      </c>
      <c r="P44" s="8">
        <f t="shared" si="36"/>
        <v>15.268140296446393</v>
      </c>
      <c r="Q44" s="7">
        <f t="shared" si="37"/>
        <v>0.74874732907120534</v>
      </c>
      <c r="R44" s="22">
        <f t="shared" si="38"/>
        <v>0.53865003588549654</v>
      </c>
      <c r="S44" s="25">
        <f t="shared" si="39"/>
        <v>4.9039851254541696E-2</v>
      </c>
      <c r="T44" s="19">
        <f t="shared" si="40"/>
        <v>0</v>
      </c>
      <c r="U44" s="3">
        <f t="shared" si="10"/>
        <v>4.3026527297494637</v>
      </c>
      <c r="V44" s="19">
        <f t="shared" si="41"/>
        <v>0</v>
      </c>
      <c r="W44" s="19">
        <v>0</v>
      </c>
      <c r="X44" s="15">
        <f t="shared" si="42"/>
        <v>0</v>
      </c>
      <c r="Y44" s="15">
        <f t="shared" si="43"/>
        <v>0</v>
      </c>
      <c r="Z44" s="15">
        <v>0</v>
      </c>
      <c r="AA44" s="15">
        <v>0</v>
      </c>
      <c r="AB44" s="3">
        <v>0.01</v>
      </c>
      <c r="AC44" s="3">
        <v>0.01</v>
      </c>
      <c r="AD44" s="3">
        <f t="shared" si="44"/>
        <v>0.01</v>
      </c>
      <c r="AE44" s="3">
        <f t="shared" si="45"/>
        <v>0.01</v>
      </c>
      <c r="AF44" s="15">
        <f t="shared" si="46"/>
        <v>0</v>
      </c>
      <c r="AG44" s="15">
        <f t="shared" si="47"/>
        <v>0</v>
      </c>
      <c r="AH44" s="15">
        <v>0</v>
      </c>
      <c r="AI44" s="15">
        <f t="shared" si="48"/>
        <v>0</v>
      </c>
      <c r="AJ44" s="3">
        <v>0</v>
      </c>
      <c r="AK44" s="15">
        <f t="shared" si="49"/>
        <v>0</v>
      </c>
      <c r="AL44" s="15">
        <f t="shared" si="50"/>
        <v>0</v>
      </c>
      <c r="AM44" s="19">
        <f t="shared" si="51"/>
        <v>0</v>
      </c>
    </row>
    <row r="45" spans="1:39" x14ac:dyDescent="0.25">
      <c r="A45" s="2" t="s">
        <v>63</v>
      </c>
      <c r="B45" s="1" t="s">
        <v>39</v>
      </c>
      <c r="C45" s="3">
        <v>3600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5">
        <f t="shared" si="32"/>
        <v>0</v>
      </c>
      <c r="K45" s="10">
        <v>8.0000000000000002E-3</v>
      </c>
      <c r="L45" s="13">
        <f t="shared" si="33"/>
        <v>0</v>
      </c>
      <c r="M45" s="13">
        <f t="shared" si="34"/>
        <v>0</v>
      </c>
      <c r="N45" s="13">
        <f t="shared" si="35"/>
        <v>0</v>
      </c>
      <c r="O45" s="8">
        <v>10.3</v>
      </c>
      <c r="P45" s="8">
        <f t="shared" si="36"/>
        <v>20.357520395261858</v>
      </c>
      <c r="Q45" s="8">
        <f t="shared" si="37"/>
        <v>2.9949893162848213</v>
      </c>
      <c r="R45" s="22">
        <f t="shared" si="38"/>
        <v>0.2438127847977809</v>
      </c>
      <c r="S45" s="25">
        <f t="shared" si="39"/>
        <v>0.14711955376362509</v>
      </c>
      <c r="T45" s="19">
        <f t="shared" si="40"/>
        <v>0</v>
      </c>
      <c r="U45" s="3">
        <f t="shared" si="10"/>
        <v>4.3026527297494637</v>
      </c>
      <c r="V45" s="19">
        <f t="shared" si="41"/>
        <v>0</v>
      </c>
      <c r="W45" s="19">
        <v>0</v>
      </c>
      <c r="X45" s="15">
        <f t="shared" si="42"/>
        <v>0</v>
      </c>
      <c r="Y45" s="15">
        <f t="shared" si="43"/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 t="shared" si="44"/>
        <v>0.01</v>
      </c>
      <c r="AE45" s="3">
        <f t="shared" si="45"/>
        <v>0.01</v>
      </c>
      <c r="AF45" s="15">
        <f t="shared" si="46"/>
        <v>0</v>
      </c>
      <c r="AG45" s="15">
        <f t="shared" si="47"/>
        <v>0</v>
      </c>
      <c r="AH45" s="15">
        <v>0</v>
      </c>
      <c r="AI45" s="15">
        <f t="shared" si="48"/>
        <v>0</v>
      </c>
      <c r="AJ45" s="3">
        <v>0</v>
      </c>
      <c r="AK45" s="15">
        <f t="shared" si="49"/>
        <v>0</v>
      </c>
      <c r="AL45" s="15">
        <f t="shared" si="50"/>
        <v>0</v>
      </c>
      <c r="AM45" s="19">
        <f t="shared" si="51"/>
        <v>0</v>
      </c>
    </row>
    <row r="46" spans="1:39" x14ac:dyDescent="0.25">
      <c r="A46" s="2" t="s">
        <v>63</v>
      </c>
      <c r="B46" s="1" t="s">
        <v>39</v>
      </c>
      <c r="C46" s="3">
        <v>3600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5">
        <f t="shared" si="32"/>
        <v>0</v>
      </c>
      <c r="K46" s="10">
        <v>6.7000000000000002E-3</v>
      </c>
      <c r="L46" s="13">
        <f t="shared" si="33"/>
        <v>0</v>
      </c>
      <c r="M46" s="13">
        <f t="shared" si="34"/>
        <v>0</v>
      </c>
      <c r="N46" s="13">
        <f t="shared" si="35"/>
        <v>0</v>
      </c>
      <c r="O46" s="8">
        <v>16.100000000000001</v>
      </c>
      <c r="P46" s="8">
        <f t="shared" si="36"/>
        <v>20.357520395261858</v>
      </c>
      <c r="Q46" s="8">
        <f t="shared" si="37"/>
        <v>2.5083035523885377</v>
      </c>
      <c r="R46" s="22">
        <f t="shared" si="38"/>
        <v>0.38110542089750221</v>
      </c>
      <c r="S46" s="25">
        <f t="shared" si="39"/>
        <v>0.12321262627703601</v>
      </c>
      <c r="T46" s="19">
        <f t="shared" si="40"/>
        <v>0</v>
      </c>
      <c r="U46" s="3">
        <f t="shared" si="10"/>
        <v>4.3026527297494637</v>
      </c>
      <c r="V46" s="19">
        <f t="shared" si="41"/>
        <v>0</v>
      </c>
      <c r="W46" s="19">
        <v>0</v>
      </c>
      <c r="X46" s="15">
        <f t="shared" si="42"/>
        <v>0</v>
      </c>
      <c r="Y46" s="15">
        <f t="shared" si="43"/>
        <v>0</v>
      </c>
      <c r="Z46" s="15">
        <v>0</v>
      </c>
      <c r="AA46" s="15">
        <v>0</v>
      </c>
      <c r="AB46" s="3">
        <v>0.01</v>
      </c>
      <c r="AC46" s="3">
        <v>0.01</v>
      </c>
      <c r="AD46" s="3">
        <f t="shared" si="44"/>
        <v>0.01</v>
      </c>
      <c r="AE46" s="3">
        <f t="shared" si="45"/>
        <v>0.01</v>
      </c>
      <c r="AF46" s="15">
        <f t="shared" si="46"/>
        <v>0</v>
      </c>
      <c r="AG46" s="15">
        <f t="shared" si="47"/>
        <v>0</v>
      </c>
      <c r="AH46" s="15">
        <v>0</v>
      </c>
      <c r="AI46" s="15">
        <f t="shared" si="48"/>
        <v>0</v>
      </c>
      <c r="AJ46" s="3">
        <v>0</v>
      </c>
      <c r="AK46" s="15">
        <f t="shared" si="49"/>
        <v>0</v>
      </c>
      <c r="AL46" s="15">
        <f t="shared" si="50"/>
        <v>0</v>
      </c>
      <c r="AM46" s="19">
        <f t="shared" si="51"/>
        <v>0</v>
      </c>
    </row>
    <row r="47" spans="1:39" x14ac:dyDescent="0.25">
      <c r="A47" s="2" t="s">
        <v>63</v>
      </c>
      <c r="B47" s="1" t="s">
        <v>39</v>
      </c>
      <c r="C47" s="3">
        <v>3600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5">
        <f t="shared" si="32"/>
        <v>0</v>
      </c>
      <c r="K47" s="10">
        <v>5.4000000000000003E-3</v>
      </c>
      <c r="L47" s="13">
        <f t="shared" si="33"/>
        <v>0</v>
      </c>
      <c r="M47" s="13">
        <f t="shared" si="34"/>
        <v>0</v>
      </c>
      <c r="N47" s="13">
        <f t="shared" si="35"/>
        <v>0</v>
      </c>
      <c r="O47" s="8">
        <v>19.2</v>
      </c>
      <c r="P47" s="8">
        <f t="shared" si="36"/>
        <v>20.357520395261858</v>
      </c>
      <c r="Q47" s="8">
        <f t="shared" si="37"/>
        <v>2.0216177884922546</v>
      </c>
      <c r="R47" s="22">
        <f t="shared" si="38"/>
        <v>0.45448596777838768</v>
      </c>
      <c r="S47" s="25">
        <f t="shared" si="39"/>
        <v>9.9305698790446956E-2</v>
      </c>
      <c r="T47" s="19">
        <f t="shared" si="40"/>
        <v>0</v>
      </c>
      <c r="U47" s="3">
        <f t="shared" si="10"/>
        <v>4.3026527297494637</v>
      </c>
      <c r="V47" s="19">
        <f t="shared" si="41"/>
        <v>0</v>
      </c>
      <c r="W47" s="19">
        <v>0</v>
      </c>
      <c r="X47" s="15">
        <f t="shared" si="42"/>
        <v>0</v>
      </c>
      <c r="Y47" s="15">
        <f t="shared" si="43"/>
        <v>0</v>
      </c>
      <c r="Z47" s="15">
        <v>0</v>
      </c>
      <c r="AA47" s="15">
        <v>0</v>
      </c>
      <c r="AB47" s="3">
        <v>0.01</v>
      </c>
      <c r="AC47" s="3">
        <v>0.01</v>
      </c>
      <c r="AD47" s="3">
        <f t="shared" si="44"/>
        <v>0.01</v>
      </c>
      <c r="AE47" s="3">
        <f t="shared" si="45"/>
        <v>0.01</v>
      </c>
      <c r="AF47" s="15">
        <f t="shared" si="46"/>
        <v>0</v>
      </c>
      <c r="AG47" s="15">
        <f t="shared" si="47"/>
        <v>0</v>
      </c>
      <c r="AH47" s="15">
        <v>0</v>
      </c>
      <c r="AI47" s="15">
        <f t="shared" si="48"/>
        <v>0</v>
      </c>
      <c r="AJ47" s="3">
        <v>0</v>
      </c>
      <c r="AK47" s="15">
        <f t="shared" si="49"/>
        <v>0</v>
      </c>
      <c r="AL47" s="15">
        <f t="shared" si="50"/>
        <v>0</v>
      </c>
      <c r="AM47" s="19">
        <f t="shared" si="51"/>
        <v>0</v>
      </c>
    </row>
    <row r="48" spans="1:39" x14ac:dyDescent="0.25">
      <c r="A48" s="2" t="s">
        <v>63</v>
      </c>
      <c r="B48" s="1" t="s">
        <v>39</v>
      </c>
      <c r="C48" s="3">
        <v>3600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5">
        <f t="shared" si="32"/>
        <v>0</v>
      </c>
      <c r="K48" s="10">
        <v>4.0000000000000001E-3</v>
      </c>
      <c r="L48" s="13">
        <f t="shared" si="33"/>
        <v>0</v>
      </c>
      <c r="M48" s="13">
        <f t="shared" si="34"/>
        <v>0</v>
      </c>
      <c r="N48" s="13">
        <f t="shared" si="35"/>
        <v>0</v>
      </c>
      <c r="O48" s="8">
        <v>21.6</v>
      </c>
      <c r="P48" s="8">
        <f t="shared" si="36"/>
        <v>20.357520395261858</v>
      </c>
      <c r="Q48" s="8">
        <f t="shared" si="37"/>
        <v>1.4974946581424107</v>
      </c>
      <c r="R48" s="22">
        <f t="shared" si="38"/>
        <v>0.51129671375068619</v>
      </c>
      <c r="S48" s="25">
        <f t="shared" si="39"/>
        <v>7.3559776881812547E-2</v>
      </c>
      <c r="T48" s="19">
        <f t="shared" si="40"/>
        <v>0</v>
      </c>
      <c r="U48" s="3">
        <f t="shared" si="10"/>
        <v>4.3026527297494637</v>
      </c>
      <c r="V48" s="19">
        <f t="shared" si="41"/>
        <v>0</v>
      </c>
      <c r="W48" s="19">
        <v>0</v>
      </c>
      <c r="X48" s="15">
        <f t="shared" si="42"/>
        <v>0</v>
      </c>
      <c r="Y48" s="15">
        <f t="shared" si="43"/>
        <v>0</v>
      </c>
      <c r="Z48" s="15">
        <v>0</v>
      </c>
      <c r="AA48" s="15">
        <v>0</v>
      </c>
      <c r="AB48" s="3">
        <v>0.01</v>
      </c>
      <c r="AC48" s="3">
        <v>0.01</v>
      </c>
      <c r="AD48" s="3">
        <f t="shared" si="44"/>
        <v>0.01</v>
      </c>
      <c r="AE48" s="3">
        <f t="shared" si="45"/>
        <v>0.01</v>
      </c>
      <c r="AF48" s="15">
        <f t="shared" si="46"/>
        <v>0</v>
      </c>
      <c r="AG48" s="15">
        <f t="shared" si="47"/>
        <v>0</v>
      </c>
      <c r="AH48" s="15">
        <v>0</v>
      </c>
      <c r="AI48" s="15">
        <f t="shared" si="48"/>
        <v>0</v>
      </c>
      <c r="AJ48" s="3">
        <v>0</v>
      </c>
      <c r="AK48" s="15">
        <f t="shared" si="49"/>
        <v>0</v>
      </c>
      <c r="AL48" s="15">
        <f t="shared" si="50"/>
        <v>0</v>
      </c>
      <c r="AM48" s="19">
        <f t="shared" si="51"/>
        <v>0</v>
      </c>
    </row>
    <row r="49" spans="1:39" x14ac:dyDescent="0.25">
      <c r="A49" s="2" t="s">
        <v>63</v>
      </c>
      <c r="B49" s="1" t="s">
        <v>39</v>
      </c>
      <c r="C49" s="3">
        <v>3600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5">
        <f t="shared" si="32"/>
        <v>0</v>
      </c>
      <c r="K49" s="10">
        <v>2.7000000000000001E-3</v>
      </c>
      <c r="L49" s="13">
        <f t="shared" si="33"/>
        <v>0</v>
      </c>
      <c r="M49" s="13">
        <f t="shared" si="34"/>
        <v>0</v>
      </c>
      <c r="N49" s="13">
        <f t="shared" si="35"/>
        <v>0</v>
      </c>
      <c r="O49" s="8">
        <v>22.8</v>
      </c>
      <c r="P49" s="8">
        <f t="shared" si="36"/>
        <v>20.357520395261858</v>
      </c>
      <c r="Q49" s="8">
        <f t="shared" si="37"/>
        <v>1.0108088942461273</v>
      </c>
      <c r="R49" s="22">
        <f t="shared" si="38"/>
        <v>0.5397020867368354</v>
      </c>
      <c r="S49" s="25">
        <f t="shared" si="39"/>
        <v>4.9652849395223478E-2</v>
      </c>
      <c r="T49" s="19">
        <f t="shared" si="40"/>
        <v>0</v>
      </c>
      <c r="U49" s="3">
        <f t="shared" si="10"/>
        <v>4.3026527297494637</v>
      </c>
      <c r="V49" s="19">
        <f t="shared" si="41"/>
        <v>0</v>
      </c>
      <c r="W49" s="19">
        <v>0</v>
      </c>
      <c r="X49" s="15">
        <f t="shared" si="42"/>
        <v>0</v>
      </c>
      <c r="Y49" s="15">
        <f t="shared" si="43"/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 t="shared" si="44"/>
        <v>0.01</v>
      </c>
      <c r="AE49" s="3">
        <f t="shared" si="45"/>
        <v>0.01</v>
      </c>
      <c r="AF49" s="15">
        <f t="shared" si="46"/>
        <v>0</v>
      </c>
      <c r="AG49" s="15">
        <f t="shared" si="47"/>
        <v>0</v>
      </c>
      <c r="AH49" s="15">
        <v>0</v>
      </c>
      <c r="AI49" s="15">
        <f t="shared" si="48"/>
        <v>0</v>
      </c>
      <c r="AJ49" s="3">
        <v>0</v>
      </c>
      <c r="AK49" s="15">
        <f t="shared" si="49"/>
        <v>0</v>
      </c>
      <c r="AL49" s="15">
        <f t="shared" si="50"/>
        <v>0</v>
      </c>
      <c r="AM49" s="19">
        <f t="shared" si="51"/>
        <v>0</v>
      </c>
    </row>
    <row r="50" spans="1:39" x14ac:dyDescent="0.25">
      <c r="A50" s="1"/>
      <c r="B50" s="1"/>
      <c r="C50" s="6"/>
      <c r="D50" s="6"/>
      <c r="E50" s="6"/>
      <c r="F50" s="6"/>
      <c r="G50" s="6"/>
      <c r="H50" s="6"/>
      <c r="K50" s="49"/>
      <c r="L50" s="49"/>
      <c r="M50" s="8"/>
      <c r="N50" s="8"/>
    </row>
    <row r="51" spans="1:39" x14ac:dyDescent="0.25">
      <c r="A51" s="1"/>
      <c r="B51" s="1"/>
      <c r="C51" s="6"/>
      <c r="D51" s="6"/>
      <c r="E51" s="6"/>
      <c r="F51" s="6"/>
      <c r="G51" s="6"/>
      <c r="H51" s="6"/>
      <c r="M51" s="8"/>
      <c r="N51" s="8"/>
    </row>
    <row r="52" spans="1:39" x14ac:dyDescent="0.25">
      <c r="A52" s="1"/>
      <c r="B52" s="1"/>
      <c r="C52" s="6"/>
      <c r="D52" s="6"/>
      <c r="E52" s="6"/>
      <c r="F52" s="6"/>
      <c r="G52" s="6"/>
      <c r="H52" s="6"/>
      <c r="K52" s="49"/>
      <c r="L52" s="49"/>
      <c r="M52" s="8"/>
      <c r="N52" s="8"/>
    </row>
    <row r="53" spans="1:39" x14ac:dyDescent="0.25">
      <c r="M53" s="8"/>
      <c r="N53" s="8"/>
    </row>
    <row r="54" spans="1:39" x14ac:dyDescent="0.25">
      <c r="M54" s="8"/>
      <c r="N54" s="8"/>
    </row>
    <row r="55" spans="1:39" x14ac:dyDescent="0.25">
      <c r="M55" s="8"/>
      <c r="N55" s="8"/>
    </row>
    <row r="56" spans="1:39" x14ac:dyDescent="0.25">
      <c r="B56" s="2" t="s">
        <v>79</v>
      </c>
      <c r="C56" s="3">
        <f>180-147</f>
        <v>33</v>
      </c>
      <c r="M56" s="8"/>
      <c r="N56" s="8"/>
    </row>
    <row r="57" spans="1:39" x14ac:dyDescent="0.25">
      <c r="A57"/>
      <c r="B57" s="2" t="s">
        <v>80</v>
      </c>
      <c r="C57" s="22">
        <f>_xlfn.COT(RADIANS(C56))</f>
        <v>1.5398649638145827</v>
      </c>
      <c r="M57" s="8"/>
      <c r="N57" s="8"/>
    </row>
    <row r="58" spans="1:39" x14ac:dyDescent="0.25">
      <c r="A58" s="5"/>
      <c r="B58"/>
      <c r="C58" s="26"/>
      <c r="M58" s="8"/>
      <c r="N58" s="8"/>
    </row>
    <row r="59" spans="1:39" x14ac:dyDescent="0.25">
      <c r="A59" s="48"/>
      <c r="B59" s="49"/>
      <c r="C59" s="48"/>
      <c r="D59" s="48"/>
      <c r="E59" s="6"/>
      <c r="F59" s="48"/>
      <c r="G59" s="48"/>
      <c r="H59" s="48"/>
      <c r="K59" s="49"/>
      <c r="L59" s="49"/>
      <c r="M59" s="8"/>
      <c r="N59" s="8"/>
    </row>
    <row r="60" spans="1:39" x14ac:dyDescent="0.25">
      <c r="A60" s="48"/>
      <c r="B60" s="49"/>
      <c r="F60" s="48"/>
      <c r="G60" s="48"/>
      <c r="H60" s="48"/>
      <c r="M60" s="8"/>
      <c r="N60" s="8"/>
    </row>
    <row r="61" spans="1:39" x14ac:dyDescent="0.25">
      <c r="A61" s="48"/>
      <c r="C61" s="49"/>
      <c r="D61" s="49"/>
      <c r="F61" s="49"/>
      <c r="G61" s="49"/>
      <c r="H61" s="49"/>
      <c r="K61" s="49"/>
      <c r="L61" s="49"/>
      <c r="M61" s="8"/>
      <c r="N61" s="8"/>
    </row>
    <row r="62" spans="1:39" x14ac:dyDescent="0.25">
      <c r="M62" s="8"/>
      <c r="N62" s="8"/>
    </row>
    <row r="63" spans="1:39" x14ac:dyDescent="0.25">
      <c r="M63" s="8"/>
      <c r="N63" s="8"/>
    </row>
    <row r="64" spans="1:39" x14ac:dyDescent="0.25">
      <c r="M64" s="8"/>
      <c r="N64" s="8"/>
    </row>
    <row r="65" spans="13:14" x14ac:dyDescent="0.25">
      <c r="M65" s="8"/>
      <c r="N65" s="8"/>
    </row>
  </sheetData>
  <mergeCells count="18">
    <mergeCell ref="AF13:AG13"/>
    <mergeCell ref="G14:I14"/>
    <mergeCell ref="K50:L50"/>
    <mergeCell ref="K52:L52"/>
    <mergeCell ref="D13:E13"/>
    <mergeCell ref="G13:I13"/>
    <mergeCell ref="L13:M13"/>
    <mergeCell ref="Z13:AA13"/>
    <mergeCell ref="AB13:AC13"/>
    <mergeCell ref="AD13:AE13"/>
    <mergeCell ref="A59:A61"/>
    <mergeCell ref="B59:B60"/>
    <mergeCell ref="C59:D59"/>
    <mergeCell ref="F59:H60"/>
    <mergeCell ref="K59:L59"/>
    <mergeCell ref="C61:D61"/>
    <mergeCell ref="F61:H61"/>
    <mergeCell ref="K61:L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8C4D-2617-403C-8503-1436772C4FFD}">
  <dimension ref="A1:N117"/>
  <sheetViews>
    <sheetView tabSelected="1" topLeftCell="A26" zoomScale="175" zoomScaleNormal="175" workbookViewId="0">
      <selection activeCell="B49" sqref="B49"/>
    </sheetView>
  </sheetViews>
  <sheetFormatPr defaultRowHeight="12.75" x14ac:dyDescent="0.2"/>
  <cols>
    <col min="1" max="1" width="50.140625" bestFit="1" customWidth="1"/>
    <col min="2" max="2" width="16.140625" customWidth="1"/>
    <col min="3" max="3" width="11" bestFit="1" customWidth="1"/>
    <col min="4" max="4" width="11.42578125" customWidth="1"/>
    <col min="5" max="5" width="11.140625" customWidth="1"/>
    <col min="6" max="6" width="12.85546875" bestFit="1" customWidth="1"/>
    <col min="7" max="7" width="12.85546875" customWidth="1"/>
    <col min="8" max="8" width="13.85546875" bestFit="1" customWidth="1"/>
    <col min="9" max="9" width="9.85546875" bestFit="1" customWidth="1"/>
    <col min="10" max="10" width="15.28515625" customWidth="1"/>
    <col min="11" max="11" width="20.140625" customWidth="1"/>
    <col min="12" max="12" width="15.42578125" bestFit="1" customWidth="1"/>
  </cols>
  <sheetData>
    <row r="1" spans="1:10" ht="15" x14ac:dyDescent="0.2">
      <c r="A1" s="27" t="s">
        <v>81</v>
      </c>
      <c r="B1" s="28">
        <v>400</v>
      </c>
      <c r="E1" s="29" t="s">
        <v>131</v>
      </c>
      <c r="I1" s="29" t="s">
        <v>148</v>
      </c>
    </row>
    <row r="2" spans="1:10" ht="15" x14ac:dyDescent="0.2">
      <c r="A2" s="27" t="s">
        <v>82</v>
      </c>
      <c r="B2" s="28">
        <v>0.34300000000000003</v>
      </c>
      <c r="E2" s="34">
        <f>I2-(0.91+1.471)*25.4</f>
        <v>3.0225999999999971</v>
      </c>
      <c r="F2" s="29" t="s">
        <v>146</v>
      </c>
      <c r="G2" s="29"/>
      <c r="I2">
        <v>63.5</v>
      </c>
      <c r="J2" s="29" t="s">
        <v>146</v>
      </c>
    </row>
    <row r="3" spans="1:10" ht="15" x14ac:dyDescent="0.2">
      <c r="A3" s="27" t="s">
        <v>83</v>
      </c>
      <c r="B3" s="28">
        <v>5</v>
      </c>
    </row>
    <row r="4" spans="1:10" ht="15" x14ac:dyDescent="0.2">
      <c r="A4" s="27" t="s">
        <v>84</v>
      </c>
      <c r="B4" s="28">
        <v>0.375</v>
      </c>
      <c r="D4">
        <f>B4*25.4</f>
        <v>9.5249999999999986</v>
      </c>
      <c r="E4" s="29" t="s">
        <v>146</v>
      </c>
    </row>
    <row r="5" spans="1:10" ht="15" x14ac:dyDescent="0.2">
      <c r="A5" s="27" t="s">
        <v>85</v>
      </c>
      <c r="B5" s="28">
        <v>75</v>
      </c>
    </row>
    <row r="6" spans="1:10" ht="15" x14ac:dyDescent="0.2">
      <c r="A6" s="27" t="s">
        <v>101</v>
      </c>
      <c r="B6" s="28">
        <v>2</v>
      </c>
    </row>
    <row r="7" spans="1:10" ht="15" x14ac:dyDescent="0.2">
      <c r="A7" s="27" t="s">
        <v>102</v>
      </c>
      <c r="B7" s="28">
        <v>0.371</v>
      </c>
      <c r="C7" s="29" t="s">
        <v>104</v>
      </c>
      <c r="D7">
        <f>B7*25.4</f>
        <v>9.4233999999999991</v>
      </c>
      <c r="E7" s="29" t="s">
        <v>146</v>
      </c>
    </row>
    <row r="8" spans="1:10" ht="15" x14ac:dyDescent="0.2">
      <c r="A8" s="27" t="s">
        <v>103</v>
      </c>
      <c r="B8" s="28">
        <v>0.155</v>
      </c>
      <c r="C8" s="29" t="s">
        <v>104</v>
      </c>
      <c r="D8">
        <f>B8*25.4</f>
        <v>3.9369999999999998</v>
      </c>
      <c r="E8" s="29" t="s">
        <v>146</v>
      </c>
    </row>
    <row r="9" spans="1:10" ht="15" x14ac:dyDescent="0.2">
      <c r="A9" s="27" t="s">
        <v>129</v>
      </c>
      <c r="B9" s="28">
        <f>PI()/4*(B7^2-B8^2)*(25.4)^2</f>
        <v>57.570076945141288</v>
      </c>
      <c r="C9" s="29" t="s">
        <v>105</v>
      </c>
    </row>
    <row r="10" spans="1:10" ht="15" x14ac:dyDescent="0.2">
      <c r="A10" s="27" t="s">
        <v>130</v>
      </c>
      <c r="B10" s="28">
        <f>PI()/4*B7^2*25.4^2</f>
        <v>69.743724130458673</v>
      </c>
      <c r="C10" s="29" t="s">
        <v>105</v>
      </c>
    </row>
    <row r="11" spans="1:10" ht="15" x14ac:dyDescent="0.2">
      <c r="A11" s="27" t="s">
        <v>147</v>
      </c>
      <c r="B11" s="28">
        <f>PI()/4*B4^2*25.4^2</f>
        <v>71.255739248085618</v>
      </c>
      <c r="C11" s="29" t="s">
        <v>105</v>
      </c>
    </row>
    <row r="12" spans="1:10" ht="15" x14ac:dyDescent="0.2">
      <c r="A12" s="27" t="s">
        <v>111</v>
      </c>
      <c r="B12" s="28">
        <v>120</v>
      </c>
      <c r="C12" s="28" t="s">
        <v>112</v>
      </c>
    </row>
    <row r="13" spans="1:10" ht="15" x14ac:dyDescent="0.2">
      <c r="A13" s="27" t="s">
        <v>113</v>
      </c>
      <c r="B13" s="28">
        <v>175000</v>
      </c>
      <c r="C13" s="28" t="s">
        <v>112</v>
      </c>
    </row>
    <row r="14" spans="1:10" ht="15" x14ac:dyDescent="0.2">
      <c r="A14" s="27" t="s">
        <v>114</v>
      </c>
      <c r="B14" s="28">
        <v>1</v>
      </c>
    </row>
    <row r="17" spans="1:12" ht="15" x14ac:dyDescent="0.2">
      <c r="A17" s="27" t="s">
        <v>89</v>
      </c>
      <c r="H17" s="29" t="s">
        <v>108</v>
      </c>
      <c r="K17" s="29" t="s">
        <v>162</v>
      </c>
    </row>
    <row r="18" spans="1:12" ht="15" x14ac:dyDescent="0.2">
      <c r="A18" s="27" t="s">
        <v>86</v>
      </c>
      <c r="B18" s="29" t="s">
        <v>87</v>
      </c>
      <c r="C18" s="29" t="s">
        <v>88</v>
      </c>
      <c r="D18" s="29" t="s">
        <v>100</v>
      </c>
      <c r="F18" t="s">
        <v>106</v>
      </c>
      <c r="H18" s="30" cm="1">
        <f t="array" ref="H18:I22">LINEST(D19:D27,A19:A27, FALSE, TRUE)</f>
        <v>8.4713375796178328E-5</v>
      </c>
      <c r="I18">
        <v>0</v>
      </c>
      <c r="K18" s="29" t="s">
        <v>163</v>
      </c>
      <c r="L18" s="41">
        <f>-_xlfn.T.INV(0.025, COUNT(C19:C27) - 2)</f>
        <v>2.3646242515927849</v>
      </c>
    </row>
    <row r="19" spans="1:12" ht="15" x14ac:dyDescent="0.2">
      <c r="A19">
        <v>0</v>
      </c>
      <c r="B19" s="28">
        <v>6.0000000000000001E-3</v>
      </c>
      <c r="C19">
        <v>-3.0000000000000001E-3</v>
      </c>
      <c r="D19" s="30">
        <f>4*B19/($B$6*$B$3*$B$1)</f>
        <v>6.0000000000000002E-6</v>
      </c>
      <c r="F19" s="29" t="s">
        <v>161</v>
      </c>
      <c r="G19" s="29"/>
      <c r="H19">
        <v>8.2056660109804756E-7</v>
      </c>
      <c r="I19" t="e">
        <v>#N/A</v>
      </c>
      <c r="K19" s="29" t="s">
        <v>160</v>
      </c>
      <c r="L19" s="30">
        <f>L18*H19</f>
        <v>1.9403316850035058E-6</v>
      </c>
    </row>
    <row r="20" spans="1:12" ht="15" x14ac:dyDescent="0.2">
      <c r="A20">
        <v>1</v>
      </c>
      <c r="B20" s="28">
        <v>8.5000000000000006E-2</v>
      </c>
      <c r="C20">
        <v>-0.21199999999999999</v>
      </c>
      <c r="D20" s="30">
        <f t="shared" ref="D20:D27" si="0">4*B20/($B$6*$B$3*$B$1)</f>
        <v>8.5000000000000006E-5</v>
      </c>
      <c r="H20">
        <v>0.99924995413810469</v>
      </c>
      <c r="I20">
        <v>1.1495256568118845E-5</v>
      </c>
      <c r="K20" s="29" t="s">
        <v>164</v>
      </c>
      <c r="L20" s="35">
        <f>H24*L19/H18</f>
        <v>4.6965093209894402</v>
      </c>
    </row>
    <row r="21" spans="1:12" ht="15" x14ac:dyDescent="0.2">
      <c r="A21">
        <v>2</v>
      </c>
      <c r="B21" s="28">
        <v>0.16800000000000001</v>
      </c>
      <c r="C21">
        <v>-0.441</v>
      </c>
      <c r="D21" s="30">
        <f t="shared" si="0"/>
        <v>1.6800000000000002E-4</v>
      </c>
      <c r="H21">
        <v>10658.014448481304</v>
      </c>
      <c r="I21">
        <v>8</v>
      </c>
    </row>
    <row r="22" spans="1:12" ht="15" x14ac:dyDescent="0.2">
      <c r="A22">
        <v>3</v>
      </c>
      <c r="B22" s="28">
        <v>0.253</v>
      </c>
      <c r="C22">
        <v>-0.66700000000000004</v>
      </c>
      <c r="D22" s="30">
        <f t="shared" si="0"/>
        <v>2.5300000000000002E-4</v>
      </c>
      <c r="H22">
        <v>1.4083598726114649E-6</v>
      </c>
      <c r="I22">
        <v>1.0571273885350356E-9</v>
      </c>
    </row>
    <row r="23" spans="1:12" ht="15" x14ac:dyDescent="0.2">
      <c r="A23">
        <v>4</v>
      </c>
      <c r="B23" s="28">
        <v>0.33500000000000002</v>
      </c>
      <c r="C23">
        <v>-0.88800000000000001</v>
      </c>
      <c r="D23" s="30">
        <f t="shared" si="0"/>
        <v>3.3500000000000001E-4</v>
      </c>
    </row>
    <row r="24" spans="1:12" ht="15" x14ac:dyDescent="0.2">
      <c r="A24">
        <v>5</v>
      </c>
      <c r="B24" s="28">
        <v>0.41699999999999998</v>
      </c>
      <c r="C24">
        <v>-1.08</v>
      </c>
      <c r="D24" s="30">
        <f t="shared" si="0"/>
        <v>4.17E-4</v>
      </c>
      <c r="F24" s="31" t="s">
        <v>107</v>
      </c>
      <c r="G24" s="31"/>
      <c r="H24" s="40">
        <f>1/(H18*B9)</f>
        <v>205.04595276890194</v>
      </c>
      <c r="I24" s="33" t="s">
        <v>115</v>
      </c>
    </row>
    <row r="25" spans="1:12" ht="15" x14ac:dyDescent="0.2">
      <c r="A25">
        <v>6</v>
      </c>
      <c r="B25" s="28">
        <v>0.498</v>
      </c>
      <c r="C25">
        <v>-1.27</v>
      </c>
      <c r="D25" s="30">
        <f t="shared" si="0"/>
        <v>4.9799999999999996E-4</v>
      </c>
      <c r="F25" s="29"/>
      <c r="G25" s="29"/>
      <c r="H25" s="29" t="s">
        <v>109</v>
      </c>
    </row>
    <row r="26" spans="1:12" ht="15" x14ac:dyDescent="0.2">
      <c r="A26">
        <v>7</v>
      </c>
      <c r="B26" s="28">
        <v>0.58099999999999996</v>
      </c>
      <c r="C26">
        <v>-1.46</v>
      </c>
      <c r="D26" s="30">
        <f t="shared" si="0"/>
        <v>5.8099999999999992E-4</v>
      </c>
      <c r="F26" s="29" t="s">
        <v>106</v>
      </c>
      <c r="G26" s="29"/>
      <c r="H26" s="34" cm="1">
        <f t="array" ref="H26:I30">LINEST(C19:C27,A19:A27, FALSE, TRUE)</f>
        <v>-0.21141146496815286</v>
      </c>
      <c r="I26">
        <v>0</v>
      </c>
    </row>
    <row r="27" spans="1:12" ht="15" x14ac:dyDescent="0.2">
      <c r="A27">
        <v>7.5</v>
      </c>
      <c r="B27" s="28">
        <v>0.66200000000000003</v>
      </c>
      <c r="C27">
        <v>-1.5469999999999999</v>
      </c>
      <c r="D27" s="30">
        <f t="shared" si="0"/>
        <v>6.6200000000000005E-4</v>
      </c>
      <c r="H27">
        <v>1.8919918738836679E-3</v>
      </c>
      <c r="I27" t="e">
        <v>#N/A</v>
      </c>
    </row>
    <row r="28" spans="1:12" ht="15" x14ac:dyDescent="0.2">
      <c r="B28" s="28"/>
      <c r="D28" s="30"/>
      <c r="H28">
        <v>0.99935968559059274</v>
      </c>
      <c r="I28">
        <v>2.6504773635662494E-2</v>
      </c>
    </row>
    <row r="29" spans="1:12" ht="15" x14ac:dyDescent="0.2">
      <c r="B29" s="28"/>
      <c r="D29" s="30"/>
      <c r="H29">
        <v>12485.862206545746</v>
      </c>
      <c r="I29">
        <v>8</v>
      </c>
    </row>
    <row r="30" spans="1:12" x14ac:dyDescent="0.2">
      <c r="H30">
        <v>8.7713559757961779</v>
      </c>
      <c r="I30">
        <v>5.6200242038216769E-3</v>
      </c>
    </row>
    <row r="32" spans="1:12" x14ac:dyDescent="0.2">
      <c r="F32" s="29" t="s">
        <v>117</v>
      </c>
      <c r="G32" s="29"/>
      <c r="H32" s="30">
        <f>4*H26/(B6*B3*B1)</f>
        <v>-2.1141146496815285E-4</v>
      </c>
    </row>
    <row r="33" spans="1:13" x14ac:dyDescent="0.2">
      <c r="F33" s="31" t="s">
        <v>110</v>
      </c>
      <c r="G33" s="31"/>
      <c r="H33" s="32">
        <f>B12/(B14*B6*(B13+B12))</f>
        <v>3.4262220191868436E-4</v>
      </c>
      <c r="I33" s="33" t="s">
        <v>118</v>
      </c>
    </row>
    <row r="34" spans="1:13" x14ac:dyDescent="0.2">
      <c r="F34" s="29" t="s">
        <v>116</v>
      </c>
      <c r="G34" s="29"/>
      <c r="H34">
        <f>H18/H32</f>
        <v>-0.40070379252581972</v>
      </c>
    </row>
    <row r="35" spans="1:13" s="37" customFormat="1" ht="38.25" x14ac:dyDescent="0.2">
      <c r="A35" s="36" t="s">
        <v>86</v>
      </c>
      <c r="B35" s="36" t="s">
        <v>123</v>
      </c>
      <c r="C35" s="36" t="s">
        <v>122</v>
      </c>
      <c r="D35" s="36" t="s">
        <v>119</v>
      </c>
      <c r="E35" s="36" t="s">
        <v>120</v>
      </c>
      <c r="F35" s="36" t="s">
        <v>121</v>
      </c>
      <c r="G35" s="36" t="s">
        <v>174</v>
      </c>
      <c r="H35" s="36" t="s">
        <v>171</v>
      </c>
      <c r="I35" s="38" t="s">
        <v>194</v>
      </c>
      <c r="K35" s="36" t="s">
        <v>124</v>
      </c>
    </row>
    <row r="36" spans="1:13" x14ac:dyDescent="0.2">
      <c r="A36">
        <v>0</v>
      </c>
      <c r="B36">
        <v>0</v>
      </c>
      <c r="C36" s="42">
        <f>B36*0.11298482933333</f>
        <v>0</v>
      </c>
      <c r="D36">
        <v>-2E-3</v>
      </c>
      <c r="E36">
        <v>-1E-3</v>
      </c>
      <c r="F36" s="30">
        <f>4*D36/($B$6*$B$3*$B$1)</f>
        <v>-1.9999999999999999E-6</v>
      </c>
      <c r="G36" s="41">
        <f t="shared" ref="G36:G41" si="1">$H$24*F36*$B$9</f>
        <v>-2.3609022556390982E-2</v>
      </c>
      <c r="H36" s="34">
        <f>ABS(G36*SQRT($J$89^2/D36^2+$L$20^2/$H$24^2))</f>
        <v>0.36624031823579389</v>
      </c>
      <c r="I36">
        <f>H36/G36*100</f>
        <v>-1551.2726855210374</v>
      </c>
      <c r="J36" s="29" t="s">
        <v>175</v>
      </c>
      <c r="K36" cm="1">
        <f t="array" ref="K36:L40">LINEST(G36:G41,C36:C41, FALSE, TRUE)</f>
        <v>0.63576255935467008</v>
      </c>
      <c r="L36">
        <v>0</v>
      </c>
    </row>
    <row r="37" spans="1:13" x14ac:dyDescent="0.2">
      <c r="A37">
        <v>0</v>
      </c>
      <c r="B37">
        <v>25</v>
      </c>
      <c r="C37" s="34">
        <f t="shared" ref="C37:C41" si="2">B37*0.11298482933333</f>
        <v>2.82462073333325</v>
      </c>
      <c r="D37" s="34">
        <v>0.14000000000000001</v>
      </c>
      <c r="E37">
        <v>-0.311</v>
      </c>
      <c r="F37" s="30">
        <f t="shared" ref="F37:F41" si="3">4*D37/($B$6*$B$3*$B$1)</f>
        <v>1.4000000000000001E-4</v>
      </c>
      <c r="G37" s="35">
        <f t="shared" si="1"/>
        <v>1.6526315789473691</v>
      </c>
      <c r="H37" s="34">
        <f t="shared" ref="H37:H41" si="4">ABS(G37*SQRT($J$89^2/D37^2+$L$20^2/$H$24^2))</f>
        <v>0.36819088270515959</v>
      </c>
      <c r="I37">
        <f t="shared" ref="I37:I41" si="5">H37/G37*100</f>
        <v>22.279066150949138</v>
      </c>
      <c r="K37">
        <v>6.6107414151537879E-3</v>
      </c>
      <c r="L37" t="e">
        <v>#N/A</v>
      </c>
    </row>
    <row r="38" spans="1:13" x14ac:dyDescent="0.2">
      <c r="A38">
        <v>0</v>
      </c>
      <c r="B38">
        <v>50</v>
      </c>
      <c r="C38" s="34">
        <f t="shared" si="2"/>
        <v>5.6492414666665001</v>
      </c>
      <c r="D38">
        <v>0.29399999999999998</v>
      </c>
      <c r="E38">
        <v>-0.61499999999999999</v>
      </c>
      <c r="F38" s="30">
        <f t="shared" si="3"/>
        <v>2.9399999999999999E-4</v>
      </c>
      <c r="G38" s="35">
        <f t="shared" si="1"/>
        <v>3.4705263157894746</v>
      </c>
      <c r="H38" s="34">
        <f t="shared" si="4"/>
        <v>0.37476731072216912</v>
      </c>
      <c r="I38">
        <f t="shared" si="5"/>
        <v>10.79857279909192</v>
      </c>
      <c r="K38">
        <v>0.99945968661223894</v>
      </c>
      <c r="L38">
        <v>0.138481467466676</v>
      </c>
    </row>
    <row r="39" spans="1:13" x14ac:dyDescent="0.2">
      <c r="A39">
        <v>0</v>
      </c>
      <c r="B39">
        <v>75</v>
      </c>
      <c r="C39" s="34">
        <f t="shared" si="2"/>
        <v>8.4738621999997505</v>
      </c>
      <c r="D39">
        <v>0.44700000000000001</v>
      </c>
      <c r="E39">
        <v>-0.90700000000000003</v>
      </c>
      <c r="F39" s="30">
        <f t="shared" si="3"/>
        <v>4.4700000000000002E-4</v>
      </c>
      <c r="G39" s="35">
        <f t="shared" si="1"/>
        <v>5.276616541353385</v>
      </c>
      <c r="H39" s="34">
        <f t="shared" si="4"/>
        <v>0.3856664510786752</v>
      </c>
      <c r="I39">
        <f t="shared" si="5"/>
        <v>7.3089724837150412</v>
      </c>
      <c r="K39">
        <v>9248.8887861332005</v>
      </c>
      <c r="L39">
        <v>5</v>
      </c>
    </row>
    <row r="40" spans="1:13" x14ac:dyDescent="0.2">
      <c r="A40">
        <v>0</v>
      </c>
      <c r="B40">
        <v>100</v>
      </c>
      <c r="C40" s="34">
        <f t="shared" si="2"/>
        <v>11.298482933333</v>
      </c>
      <c r="D40">
        <v>0.60199999999999998</v>
      </c>
      <c r="E40">
        <v>-1.2030000000000001</v>
      </c>
      <c r="F40" s="30">
        <f t="shared" si="3"/>
        <v>6.02E-4</v>
      </c>
      <c r="G40" s="35">
        <f t="shared" si="1"/>
        <v>7.106315789473685</v>
      </c>
      <c r="H40" s="34">
        <f t="shared" si="4"/>
        <v>0.40078053164198424</v>
      </c>
      <c r="I40">
        <f t="shared" si="5"/>
        <v>5.6397793669069021</v>
      </c>
      <c r="K40">
        <v>177.36702081529876</v>
      </c>
      <c r="L40">
        <v>9.5885584158620224E-2</v>
      </c>
    </row>
    <row r="41" spans="1:13" x14ac:dyDescent="0.2">
      <c r="A41">
        <v>0</v>
      </c>
      <c r="B41">
        <v>125</v>
      </c>
      <c r="C41" s="34">
        <f t="shared" si="2"/>
        <v>14.12310366666625</v>
      </c>
      <c r="D41">
        <v>0.77800000000000002</v>
      </c>
      <c r="E41">
        <v>-1.5189999999999999</v>
      </c>
      <c r="F41" s="30">
        <f t="shared" si="3"/>
        <v>7.7800000000000005E-4</v>
      </c>
      <c r="G41" s="35">
        <f t="shared" si="1"/>
        <v>9.1839097744360938</v>
      </c>
      <c r="H41" s="34">
        <f t="shared" si="4"/>
        <v>0.42235133578555073</v>
      </c>
      <c r="I41">
        <f t="shared" si="5"/>
        <v>4.5988184352723973</v>
      </c>
      <c r="K41" s="31" t="s">
        <v>125</v>
      </c>
      <c r="L41" s="40">
        <f>1/(K36*B7*25.4)</f>
        <v>0.16691579121627786</v>
      </c>
      <c r="M41" s="33" t="s">
        <v>126</v>
      </c>
    </row>
    <row r="43" spans="1:13" ht="25.5" customHeight="1" x14ac:dyDescent="0.2">
      <c r="B43" s="51" t="s">
        <v>132</v>
      </c>
      <c r="C43" s="51"/>
    </row>
    <row r="44" spans="1:13" s="37" customFormat="1" ht="51" x14ac:dyDescent="0.2">
      <c r="A44" s="36" t="s">
        <v>127</v>
      </c>
      <c r="B44" s="36" t="s">
        <v>133</v>
      </c>
      <c r="C44" s="36" t="s">
        <v>134</v>
      </c>
      <c r="D44" s="36" t="s">
        <v>128</v>
      </c>
      <c r="E44" s="36" t="s">
        <v>136</v>
      </c>
      <c r="F44" s="36" t="s">
        <v>135</v>
      </c>
      <c r="G44" s="36"/>
    </row>
    <row r="45" spans="1:13" s="37" customFormat="1" x14ac:dyDescent="0.2">
      <c r="A45" s="29" t="s">
        <v>185</v>
      </c>
      <c r="B45" s="29">
        <v>0.91</v>
      </c>
      <c r="C45" s="37">
        <f>25.4*B45</f>
        <v>23.114000000000001</v>
      </c>
      <c r="D45" s="37">
        <f>B9</f>
        <v>57.570076945141288</v>
      </c>
      <c r="E45" s="46">
        <f>D45*$H$24/C45</f>
        <v>510.70828407871807</v>
      </c>
      <c r="F45" s="37">
        <f>1/E45</f>
        <v>1.9580649681528663E-3</v>
      </c>
    </row>
    <row r="46" spans="1:13" x14ac:dyDescent="0.2">
      <c r="A46" s="29" t="s">
        <v>186</v>
      </c>
      <c r="B46" s="29">
        <v>1.4710000000000001</v>
      </c>
      <c r="C46" s="37">
        <f>25.4*B46</f>
        <v>37.363399999999999</v>
      </c>
      <c r="D46" s="37">
        <f>B10</f>
        <v>69.743724130458673</v>
      </c>
      <c r="E46" s="46">
        <f t="shared" ref="E46" si="6">D46*$H$24/C46</f>
        <v>382.74537017459215</v>
      </c>
      <c r="F46" s="37">
        <f t="shared" ref="F46:F47" si="7">1/E46</f>
        <v>2.6127030603762562E-3</v>
      </c>
      <c r="G46" s="37"/>
    </row>
    <row r="47" spans="1:13" x14ac:dyDescent="0.2">
      <c r="A47" s="29" t="s">
        <v>187</v>
      </c>
      <c r="B47" s="34">
        <f>E2/25.4</f>
        <v>0.1189999999999999</v>
      </c>
      <c r="C47" s="37">
        <f>25.4*B47</f>
        <v>3.0225999999999971</v>
      </c>
      <c r="D47" s="37">
        <f t="shared" ref="D47" si="8">B11</f>
        <v>71.255739248085618</v>
      </c>
      <c r="E47" s="46">
        <f>D47*$H$24/C47</f>
        <v>4833.8188792351521</v>
      </c>
      <c r="F47" s="37">
        <f t="shared" si="7"/>
        <v>2.0687576944509523E-4</v>
      </c>
      <c r="G47" s="37"/>
    </row>
    <row r="49" spans="1:12" x14ac:dyDescent="0.2">
      <c r="A49" s="39" t="s">
        <v>143</v>
      </c>
      <c r="B49" s="45">
        <f>(SUM(F45:F47))^(-1)</f>
        <v>209.30819506134233</v>
      </c>
      <c r="C49" s="31" t="s">
        <v>137</v>
      </c>
    </row>
    <row r="50" spans="1:12" x14ac:dyDescent="0.2">
      <c r="A50" s="31" t="s">
        <v>141</v>
      </c>
      <c r="B50" s="44">
        <f>PI()*H24*B7*25.4/(2*LN(5*(63.5+0.5*B7*25.4)/(63.5+2.5*B7*25.4)))</f>
        <v>2222.7742744028305</v>
      </c>
      <c r="C50" s="31" t="s">
        <v>137</v>
      </c>
    </row>
    <row r="53" spans="1:12" x14ac:dyDescent="0.2">
      <c r="A53" s="29" t="s">
        <v>95</v>
      </c>
    </row>
    <row r="54" spans="1:12" x14ac:dyDescent="0.2">
      <c r="A54" s="29" t="s">
        <v>96</v>
      </c>
      <c r="B54" s="29">
        <v>60</v>
      </c>
      <c r="C54" t="s">
        <v>157</v>
      </c>
      <c r="D54">
        <f>B54*0.11298482933333</f>
        <v>6.7790897599997999</v>
      </c>
      <c r="E54" s="29" t="s">
        <v>158</v>
      </c>
    </row>
    <row r="55" spans="1:12" x14ac:dyDescent="0.2">
      <c r="A55" s="29" t="s">
        <v>97</v>
      </c>
    </row>
    <row r="56" spans="1:12" ht="15" x14ac:dyDescent="0.2">
      <c r="B56" s="27" t="s">
        <v>86</v>
      </c>
      <c r="C56" s="29" t="s">
        <v>87</v>
      </c>
      <c r="D56" s="29" t="s">
        <v>88</v>
      </c>
      <c r="E56" s="29" t="s">
        <v>100</v>
      </c>
      <c r="F56" s="29" t="s">
        <v>139</v>
      </c>
      <c r="G56" s="29"/>
      <c r="H56" s="29"/>
      <c r="I56" s="29" t="s">
        <v>144</v>
      </c>
      <c r="K56" s="29" t="s">
        <v>145</v>
      </c>
    </row>
    <row r="57" spans="1:12" ht="15" x14ac:dyDescent="0.2">
      <c r="A57" s="29" t="s">
        <v>138</v>
      </c>
      <c r="B57" s="29" t="s">
        <v>98</v>
      </c>
      <c r="C57" s="28">
        <v>0.38600000000000001</v>
      </c>
      <c r="D57">
        <v>-0.73099999999999998</v>
      </c>
      <c r="E57">
        <f>4*C57/($B$6*$B$3*$B$1)</f>
        <v>3.86E-4</v>
      </c>
      <c r="F57">
        <f>E57*$H$24*$B$9</f>
        <v>4.5565413533834596</v>
      </c>
      <c r="I57" s="29" t="s">
        <v>140</v>
      </c>
      <c r="L57" s="29"/>
    </row>
    <row r="58" spans="1:12" ht="15" x14ac:dyDescent="0.2">
      <c r="A58" s="29" t="s">
        <v>138</v>
      </c>
      <c r="B58" s="29" t="s">
        <v>98</v>
      </c>
      <c r="C58" s="28">
        <v>0.38200000000000001</v>
      </c>
      <c r="D58">
        <v>-0.72</v>
      </c>
      <c r="E58">
        <f t="shared" ref="E58:E80" si="9">4*C58/($B$6*$B$3*$B$1)</f>
        <v>3.8200000000000002E-4</v>
      </c>
      <c r="F58">
        <f t="shared" ref="F58:F80" si="10">E58*$H$24*$B$9</f>
        <v>4.5093233082706785</v>
      </c>
      <c r="I58" cm="1">
        <f t="array" ref="I58:J62">LINEST(F60:F64,B60:B64, TRUE, TRUE)</f>
        <v>0.11568421052631556</v>
      </c>
      <c r="J58">
        <v>4.502240601503761</v>
      </c>
      <c r="K58" cm="1">
        <f t="array" ref="K58:L62">LINEST(F65:F68,B65:B68, TRUE, TRUE)</f>
        <v>0.86873199949025115</v>
      </c>
      <c r="L58">
        <v>0.7506868867082952</v>
      </c>
    </row>
    <row r="59" spans="1:12" ht="15" x14ac:dyDescent="0.2">
      <c r="A59" s="29" t="s">
        <v>138</v>
      </c>
      <c r="B59" s="29" t="s">
        <v>98</v>
      </c>
      <c r="C59" s="28">
        <v>0.38100000000000001</v>
      </c>
      <c r="D59">
        <v>-0.71499999999999997</v>
      </c>
      <c r="E59">
        <f t="shared" si="9"/>
        <v>3.8099999999999999E-4</v>
      </c>
      <c r="F59">
        <f t="shared" si="10"/>
        <v>4.4975187969924821</v>
      </c>
      <c r="I59">
        <v>2.7261351056473327E-3</v>
      </c>
      <c r="J59">
        <v>6.6776399787242761E-3</v>
      </c>
      <c r="K59">
        <v>3.9693879291837403E-2</v>
      </c>
      <c r="L59">
        <v>0.25590241003667386</v>
      </c>
    </row>
    <row r="60" spans="1:12" ht="15" x14ac:dyDescent="0.2">
      <c r="A60" s="29" t="s">
        <v>138</v>
      </c>
      <c r="B60">
        <v>0</v>
      </c>
      <c r="C60" s="28">
        <v>0.38200000000000001</v>
      </c>
      <c r="D60">
        <v>-0.72</v>
      </c>
      <c r="E60">
        <f t="shared" si="9"/>
        <v>3.8200000000000002E-4</v>
      </c>
      <c r="F60">
        <f t="shared" si="10"/>
        <v>4.5093233082706785</v>
      </c>
      <c r="I60">
        <v>0.99833679833679823</v>
      </c>
      <c r="J60">
        <v>8.620796143189325E-3</v>
      </c>
      <c r="K60">
        <v>0.99584189129715028</v>
      </c>
      <c r="L60">
        <v>7.6223618034726659E-2</v>
      </c>
    </row>
    <row r="61" spans="1:12" ht="15" x14ac:dyDescent="0.2">
      <c r="A61" s="29" t="s">
        <v>138</v>
      </c>
      <c r="B61">
        <v>1</v>
      </c>
      <c r="C61" s="28">
        <v>0.39100000000000001</v>
      </c>
      <c r="D61">
        <v>-0.751</v>
      </c>
      <c r="E61">
        <f t="shared" si="9"/>
        <v>3.9100000000000002E-4</v>
      </c>
      <c r="F61">
        <f t="shared" si="10"/>
        <v>4.615563909774437</v>
      </c>
      <c r="I61">
        <v>1800.7499999998913</v>
      </c>
      <c r="J61">
        <v>3</v>
      </c>
      <c r="K61">
        <v>478.98790650406357</v>
      </c>
      <c r="L61">
        <v>2</v>
      </c>
    </row>
    <row r="62" spans="1:12" ht="15" x14ac:dyDescent="0.2">
      <c r="A62" s="29" t="s">
        <v>138</v>
      </c>
      <c r="B62">
        <v>2</v>
      </c>
      <c r="C62" s="28">
        <v>0.4</v>
      </c>
      <c r="D62">
        <v>-0.78300000000000003</v>
      </c>
      <c r="E62">
        <f t="shared" si="9"/>
        <v>4.0000000000000002E-4</v>
      </c>
      <c r="F62">
        <f t="shared" si="10"/>
        <v>4.7218045112781963</v>
      </c>
      <c r="I62">
        <v>0.13382836565096901</v>
      </c>
      <c r="J62">
        <v>2.2295437842728379E-4</v>
      </c>
      <c r="K62">
        <v>2.7829388705850908</v>
      </c>
      <c r="L62">
        <v>1.1620079892607816E-2</v>
      </c>
    </row>
    <row r="63" spans="1:12" ht="15" x14ac:dyDescent="0.2">
      <c r="A63" s="29" t="s">
        <v>138</v>
      </c>
      <c r="B63">
        <v>3</v>
      </c>
      <c r="C63" s="28">
        <v>0.41099999999999998</v>
      </c>
      <c r="D63">
        <v>-0.81799999999999995</v>
      </c>
      <c r="E63">
        <f t="shared" si="9"/>
        <v>4.1099999999999996E-4</v>
      </c>
      <c r="F63">
        <f t="shared" si="10"/>
        <v>4.8516541353383467</v>
      </c>
    </row>
    <row r="64" spans="1:12" ht="15" x14ac:dyDescent="0.2">
      <c r="A64" s="29" t="s">
        <v>138</v>
      </c>
      <c r="B64">
        <v>4</v>
      </c>
      <c r="C64" s="28">
        <v>0.42099999999999999</v>
      </c>
      <c r="D64">
        <v>-0.85499999999999998</v>
      </c>
      <c r="E64">
        <f t="shared" si="9"/>
        <v>4.2099999999999999E-4</v>
      </c>
      <c r="F64">
        <f t="shared" si="10"/>
        <v>4.9696992481203015</v>
      </c>
      <c r="I64" s="31" t="s">
        <v>142</v>
      </c>
      <c r="J64" s="45">
        <f>B49*(1-I58)/I58</f>
        <v>1599.9983136581809</v>
      </c>
    </row>
    <row r="65" spans="1:14" ht="15" x14ac:dyDescent="0.2">
      <c r="A65" s="29" t="s">
        <v>138</v>
      </c>
      <c r="B65">
        <v>5</v>
      </c>
      <c r="C65" s="28">
        <v>0.436</v>
      </c>
      <c r="D65">
        <v>-0.90100000000000002</v>
      </c>
      <c r="E65">
        <f t="shared" si="9"/>
        <v>4.3599999999999997E-4</v>
      </c>
      <c r="F65">
        <f t="shared" si="10"/>
        <v>5.1467669172932338</v>
      </c>
      <c r="I65" s="31" t="s">
        <v>149</v>
      </c>
      <c r="J65" s="32">
        <f>ABS(J64-B50)/B50*100</f>
        <v>28.017957914865843</v>
      </c>
      <c r="L65" s="29" t="s">
        <v>195</v>
      </c>
    </row>
    <row r="66" spans="1:14" ht="15" x14ac:dyDescent="0.2">
      <c r="A66" s="29" t="s">
        <v>138</v>
      </c>
      <c r="B66">
        <v>6</v>
      </c>
      <c r="C66" s="28">
        <v>0.498</v>
      </c>
      <c r="D66">
        <v>-1.0680000000000001</v>
      </c>
      <c r="E66">
        <f t="shared" si="9"/>
        <v>4.9799999999999996E-4</v>
      </c>
      <c r="F66">
        <f t="shared" si="10"/>
        <v>5.8786466165413538</v>
      </c>
      <c r="L66" cm="1">
        <f t="array" ref="L66:N70">LINEST(F72:F80,B72:B80^{1,2}, TRUE, TRUE)</f>
        <v>4.7547767283952734E-2</v>
      </c>
      <c r="M66">
        <v>0.11901225968819949</v>
      </c>
      <c r="N66">
        <v>3.79398283630902</v>
      </c>
    </row>
    <row r="67" spans="1:14" ht="15" x14ac:dyDescent="0.2">
      <c r="A67" s="29" t="s">
        <v>138</v>
      </c>
      <c r="B67">
        <v>7</v>
      </c>
      <c r="C67" s="28">
        <v>0.57799999999999996</v>
      </c>
      <c r="D67">
        <v>-1.226</v>
      </c>
      <c r="E67">
        <f t="shared" si="9"/>
        <v>5.7799999999999995E-4</v>
      </c>
      <c r="F67">
        <f t="shared" si="10"/>
        <v>6.8230075187969934</v>
      </c>
      <c r="I67" s="29" t="s">
        <v>152</v>
      </c>
      <c r="L67">
        <v>3.7332453860941753E-3</v>
      </c>
      <c r="M67">
        <v>2.9709926733736368E-2</v>
      </c>
      <c r="N67">
        <v>4.8237239666924926E-2</v>
      </c>
    </row>
    <row r="68" spans="1:14" ht="15" x14ac:dyDescent="0.2">
      <c r="A68" s="29" t="s">
        <v>138</v>
      </c>
      <c r="B68">
        <v>7.5</v>
      </c>
      <c r="C68" s="28">
        <v>0.61899999999999999</v>
      </c>
      <c r="D68">
        <v>-1.3</v>
      </c>
      <c r="E68">
        <f t="shared" si="9"/>
        <v>6.1899999999999998E-4</v>
      </c>
      <c r="F68">
        <f t="shared" si="10"/>
        <v>7.3069924812030083</v>
      </c>
      <c r="I68" s="29" t="s">
        <v>153</v>
      </c>
      <c r="J68" s="35">
        <f>(J58-L58)/(K58-I58)</f>
        <v>4.9818268770923018</v>
      </c>
      <c r="K68" s="29" t="s">
        <v>151</v>
      </c>
      <c r="L68">
        <v>0.9985119721671587</v>
      </c>
      <c r="M68">
        <v>5.8403179350029387E-2</v>
      </c>
      <c r="N68" t="e">
        <v>#N/A</v>
      </c>
    </row>
    <row r="69" spans="1:14" ht="15" x14ac:dyDescent="0.2">
      <c r="A69" s="29" t="s">
        <v>99</v>
      </c>
      <c r="B69" s="29" t="s">
        <v>98</v>
      </c>
      <c r="C69" s="28">
        <v>0.32700000000000001</v>
      </c>
      <c r="D69">
        <v>-0.54</v>
      </c>
      <c r="E69">
        <f t="shared" si="9"/>
        <v>3.2700000000000003E-4</v>
      </c>
      <c r="F69">
        <f t="shared" si="10"/>
        <v>3.8600751879699255</v>
      </c>
      <c r="I69" s="29" t="s">
        <v>188</v>
      </c>
      <c r="J69" s="35">
        <f>I58*J68+J58</f>
        <v>5.0785593107589637</v>
      </c>
      <c r="K69" s="29" t="s">
        <v>151</v>
      </c>
      <c r="L69">
        <v>2013.0913215391849</v>
      </c>
      <c r="M69">
        <v>6</v>
      </c>
      <c r="N69" t="e">
        <v>#N/A</v>
      </c>
    </row>
    <row r="70" spans="1:14" ht="15" x14ac:dyDescent="0.2">
      <c r="A70" s="29" t="s">
        <v>99</v>
      </c>
      <c r="B70" s="29" t="s">
        <v>98</v>
      </c>
      <c r="C70" s="28">
        <v>0.32300000000000001</v>
      </c>
      <c r="D70">
        <v>-0.53400000000000003</v>
      </c>
      <c r="E70">
        <f t="shared" si="9"/>
        <v>3.2299999999999999E-4</v>
      </c>
      <c r="F70">
        <f t="shared" si="10"/>
        <v>3.8128571428571436</v>
      </c>
      <c r="L70">
        <v>13.733032631083148</v>
      </c>
      <c r="M70">
        <v>2.0465588149150192E-2</v>
      </c>
      <c r="N70" t="e">
        <v>#N/A</v>
      </c>
    </row>
    <row r="71" spans="1:14" ht="15" x14ac:dyDescent="0.2">
      <c r="A71" s="29" t="s">
        <v>99</v>
      </c>
      <c r="B71" s="29" t="s">
        <v>98</v>
      </c>
      <c r="C71" s="28">
        <v>0.32100000000000001</v>
      </c>
      <c r="D71">
        <v>-0.53</v>
      </c>
      <c r="E71">
        <f t="shared" si="9"/>
        <v>3.21E-4</v>
      </c>
      <c r="F71">
        <f t="shared" si="10"/>
        <v>3.7892481203007526</v>
      </c>
      <c r="I71" s="29" t="s">
        <v>154</v>
      </c>
    </row>
    <row r="72" spans="1:14" ht="15" x14ac:dyDescent="0.2">
      <c r="A72" s="29" t="s">
        <v>99</v>
      </c>
      <c r="B72">
        <v>0</v>
      </c>
      <c r="C72" s="28">
        <v>0.315</v>
      </c>
      <c r="D72">
        <v>-0.52800000000000002</v>
      </c>
      <c r="E72">
        <f t="shared" si="9"/>
        <v>3.1500000000000001E-4</v>
      </c>
      <c r="F72">
        <f t="shared" si="10"/>
        <v>3.7184210526315797</v>
      </c>
      <c r="I72" s="29" t="s">
        <v>155</v>
      </c>
      <c r="J72" s="34">
        <f>B49/(B49+B50)</f>
        <v>8.6061306591900366E-2</v>
      </c>
      <c r="L72" s="29" t="s">
        <v>196</v>
      </c>
    </row>
    <row r="73" spans="1:14" ht="15" x14ac:dyDescent="0.2">
      <c r="A73" s="29" t="s">
        <v>99</v>
      </c>
      <c r="B73">
        <v>1</v>
      </c>
      <c r="C73" s="28">
        <v>0.34399999999999997</v>
      </c>
      <c r="D73">
        <v>-0.59299999999999997</v>
      </c>
      <c r="E73">
        <f t="shared" si="9"/>
        <v>3.4399999999999996E-4</v>
      </c>
      <c r="F73">
        <f t="shared" si="10"/>
        <v>4.0607518796992483</v>
      </c>
      <c r="I73" s="29" t="s">
        <v>156</v>
      </c>
      <c r="J73" s="35">
        <f>D54/(L41*D4)</f>
        <v>4.2639192803827752</v>
      </c>
      <c r="L73" cm="1">
        <f t="array" ref="L73:M77">LINEST(F72:F80,B72:B80, TRUE, TRUE)</f>
        <v>0.48417159499539375</v>
      </c>
      <c r="M73">
        <v>3.3904376058723891</v>
      </c>
    </row>
    <row r="74" spans="1:14" ht="15" x14ac:dyDescent="0.2">
      <c r="A74" s="29" t="s">
        <v>99</v>
      </c>
      <c r="B74">
        <v>2</v>
      </c>
      <c r="C74" s="28">
        <v>0.35799999999999998</v>
      </c>
      <c r="D74">
        <v>-0.67400000000000004</v>
      </c>
      <c r="E74">
        <f t="shared" si="9"/>
        <v>3.5799999999999997E-4</v>
      </c>
      <c r="F74">
        <f t="shared" si="10"/>
        <v>4.226015037593986</v>
      </c>
      <c r="H74" s="28"/>
      <c r="I74" s="29" t="s">
        <v>150</v>
      </c>
      <c r="J74" s="35">
        <f>J73/(1-J72)</f>
        <v>4.6654324968806344</v>
      </c>
      <c r="L74">
        <v>3.8182466585021134E-2</v>
      </c>
      <c r="M74">
        <v>0.17829844614323084</v>
      </c>
    </row>
    <row r="75" spans="1:14" ht="15" x14ac:dyDescent="0.2">
      <c r="A75" s="29" t="s">
        <v>99</v>
      </c>
      <c r="B75">
        <v>3</v>
      </c>
      <c r="C75" s="28">
        <v>0.38900000000000001</v>
      </c>
      <c r="D75">
        <v>-0.76600000000000001</v>
      </c>
      <c r="E75">
        <f t="shared" si="9"/>
        <v>3.8900000000000002E-4</v>
      </c>
      <c r="F75">
        <f t="shared" si="10"/>
        <v>4.5919548872180469</v>
      </c>
      <c r="L75">
        <v>0.95828225428595459</v>
      </c>
      <c r="M75">
        <v>0.28629778238463244</v>
      </c>
    </row>
    <row r="76" spans="1:14" ht="15" x14ac:dyDescent="0.2">
      <c r="A76" s="29" t="s">
        <v>99</v>
      </c>
      <c r="B76">
        <v>4</v>
      </c>
      <c r="C76" s="28">
        <v>0.42599999999999999</v>
      </c>
      <c r="D76">
        <v>-0.85599999999999998</v>
      </c>
      <c r="E76">
        <f t="shared" si="9"/>
        <v>4.26E-4</v>
      </c>
      <c r="F76">
        <f t="shared" si="10"/>
        <v>5.0287218045112789</v>
      </c>
      <c r="I76" s="29" t="s">
        <v>159</v>
      </c>
      <c r="L76">
        <v>160.79430144623734</v>
      </c>
      <c r="M76">
        <v>7</v>
      </c>
    </row>
    <row r="77" spans="1:14" ht="15" x14ac:dyDescent="0.2">
      <c r="A77" s="29" t="s">
        <v>99</v>
      </c>
      <c r="B77">
        <v>5</v>
      </c>
      <c r="C77" s="28">
        <v>0.46899999999999997</v>
      </c>
      <c r="D77">
        <v>-0.94099999999999995</v>
      </c>
      <c r="E77">
        <f t="shared" si="9"/>
        <v>4.6899999999999996E-4</v>
      </c>
      <c r="F77">
        <f t="shared" si="10"/>
        <v>5.5363157894736847</v>
      </c>
      <c r="I77" s="31" t="s">
        <v>149</v>
      </c>
      <c r="J77" s="44">
        <f>ABS(J68-J74)/J74*100</f>
        <v>6.7816730908273239</v>
      </c>
      <c r="L77">
        <v>13.179733277843789</v>
      </c>
      <c r="M77">
        <v>0.57376494138850842</v>
      </c>
    </row>
    <row r="78" spans="1:14" ht="15" x14ac:dyDescent="0.2">
      <c r="A78" s="29" t="s">
        <v>99</v>
      </c>
      <c r="B78">
        <v>6</v>
      </c>
      <c r="C78" s="28">
        <v>0.52400000000000002</v>
      </c>
      <c r="D78">
        <v>-1.036</v>
      </c>
      <c r="E78">
        <f t="shared" si="9"/>
        <v>5.2400000000000005E-4</v>
      </c>
      <c r="F78">
        <f t="shared" si="10"/>
        <v>6.1855639097744382</v>
      </c>
    </row>
    <row r="79" spans="1:14" ht="15" x14ac:dyDescent="0.2">
      <c r="A79" s="29" t="s">
        <v>99</v>
      </c>
      <c r="B79">
        <v>7</v>
      </c>
      <c r="C79" s="28">
        <v>0.58899999999999997</v>
      </c>
      <c r="D79">
        <v>-1.1479999999999999</v>
      </c>
      <c r="E79">
        <f t="shared" si="9"/>
        <v>5.8900000000000001E-4</v>
      </c>
      <c r="F79">
        <f t="shared" si="10"/>
        <v>6.9528571428571446</v>
      </c>
      <c r="L79">
        <f>B49*(1-L73)/L73</f>
        <v>222.99348728607754</v>
      </c>
    </row>
    <row r="80" spans="1:14" ht="15" x14ac:dyDescent="0.2">
      <c r="A80" s="29" t="s">
        <v>99</v>
      </c>
      <c r="B80">
        <v>7.5</v>
      </c>
      <c r="C80" s="28">
        <v>0.627</v>
      </c>
      <c r="D80">
        <v>-1.212</v>
      </c>
      <c r="E80">
        <f t="shared" si="9"/>
        <v>6.2699999999999995E-4</v>
      </c>
      <c r="F80">
        <f t="shared" si="10"/>
        <v>7.401428571428573</v>
      </c>
    </row>
    <row r="83" spans="1:10" x14ac:dyDescent="0.2">
      <c r="A83" s="29" t="s">
        <v>92</v>
      </c>
      <c r="B83" s="29"/>
    </row>
    <row r="84" spans="1:10" ht="15" x14ac:dyDescent="0.2">
      <c r="A84" s="29"/>
      <c r="B84" s="28" t="s">
        <v>42</v>
      </c>
      <c r="C84" s="28" t="s">
        <v>43</v>
      </c>
      <c r="D84" s="28" t="s">
        <v>44</v>
      </c>
      <c r="E84" s="28" t="s">
        <v>93</v>
      </c>
      <c r="F84" s="28" t="s">
        <v>94</v>
      </c>
      <c r="G84" s="28"/>
      <c r="I84" s="29" t="s">
        <v>165</v>
      </c>
      <c r="J84" s="34">
        <f>_xlfn.STDEV.S(B85:F85)</f>
        <v>2.4973986465920889E-2</v>
      </c>
    </row>
    <row r="85" spans="1:10" x14ac:dyDescent="0.2">
      <c r="A85" s="29" t="s">
        <v>90</v>
      </c>
      <c r="B85">
        <v>0.372</v>
      </c>
      <c r="C85">
        <v>0.32100000000000001</v>
      </c>
      <c r="D85">
        <v>0.35399999999999998</v>
      </c>
      <c r="E85">
        <v>0.312</v>
      </c>
      <c r="F85">
        <v>0.32700000000000001</v>
      </c>
      <c r="I85" s="29" t="s">
        <v>166</v>
      </c>
      <c r="J85" s="34">
        <f>_xlfn.STDEV.S(B86:F86)</f>
        <v>2.4076959940989198E-2</v>
      </c>
    </row>
    <row r="86" spans="1:10" x14ac:dyDescent="0.2">
      <c r="A86" s="29" t="s">
        <v>91</v>
      </c>
      <c r="B86">
        <v>-0.70099999999999996</v>
      </c>
      <c r="C86">
        <v>-0.68400000000000005</v>
      </c>
      <c r="D86">
        <v>-0.71799999999999997</v>
      </c>
      <c r="E86">
        <v>-0.65400000000000003</v>
      </c>
      <c r="F86">
        <v>-0.67900000000000005</v>
      </c>
      <c r="I86" s="29" t="s">
        <v>167</v>
      </c>
      <c r="J86">
        <f>-_xlfn.T.INV(0.025, COUNT(B85:F85)-1)</f>
        <v>2.7764451051977934</v>
      </c>
    </row>
    <row r="87" spans="1:10" x14ac:dyDescent="0.2">
      <c r="I87" s="29" t="s">
        <v>168</v>
      </c>
      <c r="J87" s="34">
        <f>J86*J84/SQRT(5)</f>
        <v>3.1009299886362019E-2</v>
      </c>
    </row>
    <row r="88" spans="1:10" x14ac:dyDescent="0.2">
      <c r="I88" s="29" t="s">
        <v>169</v>
      </c>
      <c r="J88">
        <v>1E-3</v>
      </c>
    </row>
    <row r="89" spans="1:10" x14ac:dyDescent="0.2">
      <c r="I89" s="29" t="s">
        <v>170</v>
      </c>
      <c r="J89" s="34">
        <f>SQRT(J88^2+J87^2)</f>
        <v>3.1025419891474983E-2</v>
      </c>
    </row>
    <row r="90" spans="1:10" x14ac:dyDescent="0.2">
      <c r="C90" s="29"/>
      <c r="D90" s="29" t="s">
        <v>90</v>
      </c>
      <c r="E90" s="29" t="s">
        <v>91</v>
      </c>
    </row>
    <row r="91" spans="1:10" ht="15" x14ac:dyDescent="0.2">
      <c r="C91" s="28" t="s">
        <v>42</v>
      </c>
      <c r="D91">
        <v>0.372</v>
      </c>
      <c r="E91">
        <v>-0.70099999999999996</v>
      </c>
    </row>
    <row r="92" spans="1:10" ht="15" x14ac:dyDescent="0.2">
      <c r="C92" s="28" t="s">
        <v>43</v>
      </c>
      <c r="D92">
        <v>0.32100000000000001</v>
      </c>
      <c r="E92">
        <v>-0.68400000000000005</v>
      </c>
    </row>
    <row r="93" spans="1:10" ht="15" x14ac:dyDescent="0.2">
      <c r="C93" s="28" t="s">
        <v>44</v>
      </c>
      <c r="D93">
        <v>0.35399999999999998</v>
      </c>
      <c r="E93">
        <v>-0.71799999999999997</v>
      </c>
    </row>
    <row r="94" spans="1:10" ht="15" x14ac:dyDescent="0.2">
      <c r="C94" s="28" t="s">
        <v>93</v>
      </c>
      <c r="D94">
        <v>0.312</v>
      </c>
      <c r="E94">
        <v>-0.65400000000000003</v>
      </c>
    </row>
    <row r="95" spans="1:10" ht="15" x14ac:dyDescent="0.2">
      <c r="C95" s="28" t="s">
        <v>94</v>
      </c>
      <c r="D95">
        <v>0.32700000000000001</v>
      </c>
      <c r="E95">
        <v>-0.67900000000000005</v>
      </c>
    </row>
    <row r="97" spans="1:6" x14ac:dyDescent="0.2">
      <c r="B97" s="29" t="s">
        <v>193</v>
      </c>
      <c r="C97" s="29" t="s">
        <v>189</v>
      </c>
      <c r="D97" s="29" t="s">
        <v>190</v>
      </c>
      <c r="E97" s="29" t="s">
        <v>191</v>
      </c>
      <c r="F97" s="29" t="s">
        <v>192</v>
      </c>
    </row>
    <row r="98" spans="1:6" x14ac:dyDescent="0.2">
      <c r="A98" s="29" t="s">
        <v>99</v>
      </c>
      <c r="B98">
        <v>0</v>
      </c>
      <c r="C98" s="43">
        <v>105.035205565084</v>
      </c>
      <c r="D98" s="43">
        <v>61.8044323267154</v>
      </c>
      <c r="E98" s="43">
        <v>83.419818945899806</v>
      </c>
      <c r="F98" s="43">
        <v>21.615386619184299</v>
      </c>
    </row>
    <row r="99" spans="1:6" x14ac:dyDescent="0.2">
      <c r="A99" s="29" t="s">
        <v>99</v>
      </c>
      <c r="B99">
        <v>60</v>
      </c>
      <c r="C99" s="43">
        <v>110.299627123354</v>
      </c>
      <c r="D99" s="43">
        <v>88.863678267925295</v>
      </c>
      <c r="E99" s="43">
        <v>99.581652695640003</v>
      </c>
      <c r="F99" s="43">
        <v>10.717974427714701</v>
      </c>
    </row>
    <row r="100" spans="1:6" x14ac:dyDescent="0.2">
      <c r="A100" s="29" t="s">
        <v>99</v>
      </c>
      <c r="B100">
        <v>75</v>
      </c>
      <c r="C100" s="43">
        <v>124.101056958531</v>
      </c>
      <c r="D100" s="43">
        <v>110.488170977873</v>
      </c>
      <c r="E100" s="43">
        <v>117.294613968202</v>
      </c>
      <c r="F100" s="43">
        <v>6.8064429903292103</v>
      </c>
    </row>
    <row r="101" spans="1:6" x14ac:dyDescent="0.2">
      <c r="A101" s="29" t="s">
        <v>99</v>
      </c>
      <c r="B101">
        <v>125</v>
      </c>
      <c r="C101" s="43">
        <v>174.58436501076301</v>
      </c>
      <c r="D101" s="43">
        <v>167.25016449481899</v>
      </c>
      <c r="E101" s="43">
        <v>170.917264752791</v>
      </c>
      <c r="F101" s="43">
        <v>3.6671002579717298</v>
      </c>
    </row>
    <row r="102" spans="1:6" x14ac:dyDescent="0.2">
      <c r="A102" s="29" t="s">
        <v>95</v>
      </c>
      <c r="B102">
        <v>0</v>
      </c>
      <c r="C102" s="43">
        <v>105.32974792490199</v>
      </c>
      <c r="D102" s="43">
        <v>62.097869488848403</v>
      </c>
      <c r="E102" s="43">
        <v>83.713808706875596</v>
      </c>
      <c r="F102" s="43">
        <v>21.615939218027101</v>
      </c>
    </row>
    <row r="103" spans="1:6" x14ac:dyDescent="0.2">
      <c r="A103" s="29" t="s">
        <v>95</v>
      </c>
      <c r="B103">
        <v>60</v>
      </c>
      <c r="C103" s="43">
        <v>106.346728690221</v>
      </c>
      <c r="D103" s="43">
        <v>84.153188351143797</v>
      </c>
      <c r="E103" s="43">
        <v>95.249958520682696</v>
      </c>
      <c r="F103" s="43">
        <v>11.0967701695389</v>
      </c>
    </row>
    <row r="104" spans="1:6" x14ac:dyDescent="0.2">
      <c r="A104" s="29" t="s">
        <v>95</v>
      </c>
      <c r="B104">
        <v>75</v>
      </c>
      <c r="C104" s="43">
        <v>108.671256739653</v>
      </c>
      <c r="D104" s="43">
        <v>101.337497072508</v>
      </c>
      <c r="E104" s="43">
        <v>105.00437690608</v>
      </c>
      <c r="F104" s="43">
        <v>3.6668798335724802</v>
      </c>
    </row>
    <row r="105" spans="1:6" x14ac:dyDescent="0.2">
      <c r="A105" s="29" t="s">
        <v>95</v>
      </c>
      <c r="B105">
        <v>125</v>
      </c>
      <c r="C105" s="43">
        <v>166.651631257677</v>
      </c>
      <c r="D105" s="43">
        <v>163.258071527808</v>
      </c>
      <c r="E105" s="43">
        <v>164.954851392742</v>
      </c>
      <c r="F105" s="43">
        <v>1.69677986493434</v>
      </c>
    </row>
    <row r="108" spans="1:6" x14ac:dyDescent="0.2">
      <c r="B108" t="s">
        <v>193</v>
      </c>
      <c r="C108" t="s">
        <v>189</v>
      </c>
      <c r="D108" t="s">
        <v>190</v>
      </c>
      <c r="E108" t="s">
        <v>191</v>
      </c>
      <c r="F108" t="s">
        <v>192</v>
      </c>
    </row>
    <row r="109" spans="1:6" x14ac:dyDescent="0.2">
      <c r="B109" t="s">
        <v>207</v>
      </c>
    </row>
    <row r="110" spans="1:6" x14ac:dyDescent="0.2">
      <c r="A110" t="s">
        <v>197</v>
      </c>
      <c r="B110">
        <v>0</v>
      </c>
      <c r="C110" s="47">
        <v>105.035205565084</v>
      </c>
      <c r="D110" s="47">
        <v>61.8044323267154</v>
      </c>
      <c r="E110" s="34">
        <v>83.419818945899806</v>
      </c>
      <c r="F110" s="47">
        <v>21.615386619184299</v>
      </c>
    </row>
    <row r="111" spans="1:6" x14ac:dyDescent="0.2">
      <c r="A111" t="s">
        <v>201</v>
      </c>
      <c r="B111">
        <v>60</v>
      </c>
      <c r="C111" s="47">
        <v>110.299627123354</v>
      </c>
      <c r="D111" s="34">
        <v>88.863678267925295</v>
      </c>
      <c r="E111" s="47">
        <v>99.581652695640003</v>
      </c>
      <c r="F111" s="47">
        <v>10.717974427714701</v>
      </c>
    </row>
    <row r="112" spans="1:6" x14ac:dyDescent="0.2">
      <c r="A112" t="s">
        <v>203</v>
      </c>
      <c r="B112">
        <v>75</v>
      </c>
      <c r="C112" s="47">
        <v>124.101056958531</v>
      </c>
      <c r="D112" s="47">
        <v>110.488170977873</v>
      </c>
      <c r="E112" s="47">
        <v>117.294613968202</v>
      </c>
      <c r="F112" s="47">
        <v>6.8064429903292103</v>
      </c>
    </row>
    <row r="113" spans="1:6" x14ac:dyDescent="0.2">
      <c r="A113" t="s">
        <v>199</v>
      </c>
      <c r="B113">
        <v>125</v>
      </c>
      <c r="C113" s="47">
        <v>174.58436501076301</v>
      </c>
      <c r="D113" s="47">
        <v>167.25016449481899</v>
      </c>
      <c r="E113" s="47">
        <v>170.917264752791</v>
      </c>
      <c r="F113" s="47">
        <v>3.6671002579717298</v>
      </c>
    </row>
    <row r="114" spans="1:6" x14ac:dyDescent="0.2">
      <c r="A114" t="s">
        <v>198</v>
      </c>
      <c r="B114">
        <v>0</v>
      </c>
      <c r="C114" s="47">
        <v>105.32974792490199</v>
      </c>
      <c r="D114" s="47">
        <v>62.097869488848403</v>
      </c>
      <c r="E114" s="47">
        <v>83.713808706875596</v>
      </c>
      <c r="F114" s="47">
        <v>21.615939218027101</v>
      </c>
    </row>
    <row r="115" spans="1:6" x14ac:dyDescent="0.2">
      <c r="A115" t="s">
        <v>202</v>
      </c>
      <c r="B115">
        <v>60</v>
      </c>
      <c r="C115" s="47">
        <v>106.346728690221</v>
      </c>
      <c r="D115" s="47">
        <v>84.153188351143797</v>
      </c>
      <c r="E115" s="47">
        <v>95.249958520682696</v>
      </c>
      <c r="F115" s="47">
        <v>11.0967701695389</v>
      </c>
    </row>
    <row r="116" spans="1:6" x14ac:dyDescent="0.2">
      <c r="A116" t="s">
        <v>204</v>
      </c>
      <c r="B116">
        <v>75</v>
      </c>
      <c r="C116" s="47">
        <v>108.671256739653</v>
      </c>
      <c r="D116" s="47">
        <v>101.337497072508</v>
      </c>
      <c r="E116" s="47">
        <v>105.00437690608</v>
      </c>
      <c r="F116" s="47">
        <v>3.6668798335724802</v>
      </c>
    </row>
    <row r="117" spans="1:6" x14ac:dyDescent="0.2">
      <c r="A117" t="s">
        <v>200</v>
      </c>
      <c r="B117">
        <v>125</v>
      </c>
      <c r="C117" s="47">
        <v>166.651631257677</v>
      </c>
      <c r="D117" s="47">
        <v>163.258071527808</v>
      </c>
      <c r="E117" s="47">
        <v>164.954851392742</v>
      </c>
      <c r="F117" s="47">
        <v>1.69677986493434</v>
      </c>
    </row>
  </sheetData>
  <mergeCells count="1">
    <mergeCell ref="B43:C43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CD16-957B-44A8-B9AF-BD221A4F681B}">
  <dimension ref="A1:F59"/>
  <sheetViews>
    <sheetView topLeftCell="A37" zoomScale="220" zoomScaleNormal="220" workbookViewId="0">
      <selection activeCell="A44" sqref="A44"/>
    </sheetView>
  </sheetViews>
  <sheetFormatPr defaultRowHeight="12.75" x14ac:dyDescent="0.2"/>
  <cols>
    <col min="1" max="1" width="48.85546875" customWidth="1"/>
  </cols>
  <sheetData>
    <row r="1" spans="1:5" x14ac:dyDescent="0.2">
      <c r="A1" s="29" t="s">
        <v>184</v>
      </c>
      <c r="B1" s="29" t="s">
        <v>172</v>
      </c>
      <c r="C1" s="29" t="s">
        <v>173</v>
      </c>
      <c r="D1" s="29" t="s">
        <v>178</v>
      </c>
      <c r="E1" s="29" t="s">
        <v>179</v>
      </c>
    </row>
    <row r="2" spans="1:5" x14ac:dyDescent="0.2">
      <c r="A2" s="29" t="s">
        <v>177</v>
      </c>
      <c r="B2">
        <v>0</v>
      </c>
      <c r="C2">
        <v>6.0000000000000002E-6</v>
      </c>
    </row>
    <row r="3" spans="1:5" x14ac:dyDescent="0.2">
      <c r="A3" s="29" t="s">
        <v>177</v>
      </c>
      <c r="B3">
        <v>1</v>
      </c>
      <c r="C3">
        <v>8.5000000000000006E-5</v>
      </c>
    </row>
    <row r="4" spans="1:5" x14ac:dyDescent="0.2">
      <c r="A4" s="29" t="s">
        <v>177</v>
      </c>
      <c r="B4">
        <v>2</v>
      </c>
      <c r="C4">
        <v>1.6800000000000002E-4</v>
      </c>
    </row>
    <row r="5" spans="1:5" x14ac:dyDescent="0.2">
      <c r="A5" s="29" t="s">
        <v>177</v>
      </c>
      <c r="B5">
        <v>3</v>
      </c>
      <c r="C5">
        <v>2.5300000000000002E-4</v>
      </c>
    </row>
    <row r="6" spans="1:5" x14ac:dyDescent="0.2">
      <c r="A6" s="29" t="s">
        <v>177</v>
      </c>
      <c r="B6">
        <v>4</v>
      </c>
      <c r="C6">
        <v>3.3500000000000001E-4</v>
      </c>
    </row>
    <row r="7" spans="1:5" x14ac:dyDescent="0.2">
      <c r="A7" s="29" t="s">
        <v>177</v>
      </c>
      <c r="B7">
        <v>5</v>
      </c>
      <c r="C7">
        <v>4.17E-4</v>
      </c>
    </row>
    <row r="8" spans="1:5" x14ac:dyDescent="0.2">
      <c r="A8" s="29" t="s">
        <v>177</v>
      </c>
      <c r="B8">
        <v>6</v>
      </c>
      <c r="C8">
        <v>4.9799999999999996E-4</v>
      </c>
    </row>
    <row r="9" spans="1:5" x14ac:dyDescent="0.2">
      <c r="A9" s="29" t="s">
        <v>177</v>
      </c>
      <c r="B9">
        <v>7</v>
      </c>
      <c r="C9">
        <v>5.8099999999999992E-4</v>
      </c>
    </row>
    <row r="10" spans="1:5" x14ac:dyDescent="0.2">
      <c r="A10" s="29" t="s">
        <v>177</v>
      </c>
      <c r="B10">
        <v>7.5</v>
      </c>
      <c r="C10">
        <v>6.6200000000000005E-4</v>
      </c>
    </row>
    <row r="11" spans="1:5" x14ac:dyDescent="0.2">
      <c r="A11" s="29" t="s">
        <v>176</v>
      </c>
      <c r="B11">
        <v>0</v>
      </c>
      <c r="C11">
        <v>-3.0000000000000001E-3</v>
      </c>
    </row>
    <row r="12" spans="1:5" x14ac:dyDescent="0.2">
      <c r="A12" s="29" t="s">
        <v>176</v>
      </c>
      <c r="B12">
        <v>1</v>
      </c>
      <c r="C12">
        <v>-0.21199999999999999</v>
      </c>
    </row>
    <row r="13" spans="1:5" x14ac:dyDescent="0.2">
      <c r="A13" s="29" t="s">
        <v>176</v>
      </c>
      <c r="B13">
        <v>2</v>
      </c>
      <c r="C13">
        <v>-0.441</v>
      </c>
    </row>
    <row r="14" spans="1:5" x14ac:dyDescent="0.2">
      <c r="A14" s="29" t="s">
        <v>176</v>
      </c>
      <c r="B14">
        <v>3</v>
      </c>
      <c r="C14">
        <v>-0.66700000000000004</v>
      </c>
    </row>
    <row r="15" spans="1:5" x14ac:dyDescent="0.2">
      <c r="A15" s="29" t="s">
        <v>176</v>
      </c>
      <c r="B15">
        <v>4</v>
      </c>
      <c r="C15">
        <v>-0.88800000000000001</v>
      </c>
    </row>
    <row r="16" spans="1:5" x14ac:dyDescent="0.2">
      <c r="A16" s="29" t="s">
        <v>176</v>
      </c>
      <c r="B16">
        <v>5</v>
      </c>
      <c r="C16">
        <v>-1.08</v>
      </c>
    </row>
    <row r="17" spans="1:5" x14ac:dyDescent="0.2">
      <c r="A17" s="29" t="s">
        <v>176</v>
      </c>
      <c r="B17">
        <v>6</v>
      </c>
      <c r="C17">
        <v>-1.27</v>
      </c>
    </row>
    <row r="18" spans="1:5" x14ac:dyDescent="0.2">
      <c r="A18" s="29" t="s">
        <v>176</v>
      </c>
      <c r="B18">
        <v>7</v>
      </c>
      <c r="C18">
        <v>-1.46</v>
      </c>
    </row>
    <row r="19" spans="1:5" x14ac:dyDescent="0.2">
      <c r="A19" s="29" t="s">
        <v>176</v>
      </c>
      <c r="B19">
        <v>7.5</v>
      </c>
      <c r="C19">
        <v>-1.5469999999999999</v>
      </c>
    </row>
    <row r="20" spans="1:5" x14ac:dyDescent="0.2">
      <c r="A20" s="29" t="s">
        <v>180</v>
      </c>
      <c r="B20">
        <v>0</v>
      </c>
      <c r="C20">
        <v>-2.3609022556390982E-2</v>
      </c>
      <c r="E20">
        <v>0.36624031823579389</v>
      </c>
    </row>
    <row r="21" spans="1:5" x14ac:dyDescent="0.2">
      <c r="A21" s="29" t="s">
        <v>180</v>
      </c>
      <c r="B21">
        <v>2.82462073333325</v>
      </c>
      <c r="C21">
        <v>1.6526315789473691</v>
      </c>
      <c r="E21">
        <v>0.36819088270515959</v>
      </c>
    </row>
    <row r="22" spans="1:5" x14ac:dyDescent="0.2">
      <c r="A22" s="29" t="s">
        <v>180</v>
      </c>
      <c r="B22">
        <v>5.6492414666665001</v>
      </c>
      <c r="C22">
        <v>3.4705263157894746</v>
      </c>
      <c r="E22">
        <v>0.37476731072216912</v>
      </c>
    </row>
    <row r="23" spans="1:5" x14ac:dyDescent="0.2">
      <c r="A23" s="29" t="s">
        <v>180</v>
      </c>
      <c r="B23">
        <v>8.4738621999997505</v>
      </c>
      <c r="C23">
        <v>5.276616541353385</v>
      </c>
      <c r="E23">
        <v>0.3856664510786752</v>
      </c>
    </row>
    <row r="24" spans="1:5" x14ac:dyDescent="0.2">
      <c r="A24" s="29" t="s">
        <v>180</v>
      </c>
      <c r="B24">
        <v>11.298482933333</v>
      </c>
      <c r="C24">
        <v>7.106315789473685</v>
      </c>
      <c r="E24">
        <v>0.40078053164198424</v>
      </c>
    </row>
    <row r="25" spans="1:5" x14ac:dyDescent="0.2">
      <c r="A25" s="29" t="s">
        <v>180</v>
      </c>
      <c r="B25">
        <v>14.12310366666625</v>
      </c>
      <c r="C25">
        <v>9.1839097744360938</v>
      </c>
      <c r="E25">
        <v>0.42235133578555073</v>
      </c>
    </row>
    <row r="26" spans="1:5" x14ac:dyDescent="0.2">
      <c r="A26" s="29" t="s">
        <v>182</v>
      </c>
      <c r="B26">
        <v>0</v>
      </c>
      <c r="C26">
        <v>4.5093233082706785</v>
      </c>
    </row>
    <row r="27" spans="1:5" x14ac:dyDescent="0.2">
      <c r="A27" s="29" t="s">
        <v>182</v>
      </c>
      <c r="B27">
        <v>1</v>
      </c>
      <c r="C27">
        <v>4.615563909774437</v>
      </c>
    </row>
    <row r="28" spans="1:5" x14ac:dyDescent="0.2">
      <c r="A28" s="29" t="s">
        <v>182</v>
      </c>
      <c r="B28">
        <v>2</v>
      </c>
      <c r="C28">
        <v>4.7218045112781963</v>
      </c>
    </row>
    <row r="29" spans="1:5" x14ac:dyDescent="0.2">
      <c r="A29" s="29" t="s">
        <v>182</v>
      </c>
      <c r="B29">
        <v>3</v>
      </c>
      <c r="C29">
        <v>4.8516541353383467</v>
      </c>
    </row>
    <row r="30" spans="1:5" x14ac:dyDescent="0.2">
      <c r="A30" s="29" t="s">
        <v>182</v>
      </c>
      <c r="B30">
        <v>4</v>
      </c>
      <c r="C30">
        <v>4.9696992481203015</v>
      </c>
    </row>
    <row r="31" spans="1:5" x14ac:dyDescent="0.2">
      <c r="A31" s="29" t="s">
        <v>181</v>
      </c>
      <c r="B31">
        <v>5</v>
      </c>
      <c r="C31">
        <v>5.1467669172932338</v>
      </c>
    </row>
    <row r="32" spans="1:5" x14ac:dyDescent="0.2">
      <c r="A32" s="29" t="s">
        <v>181</v>
      </c>
      <c r="B32">
        <v>6</v>
      </c>
      <c r="C32">
        <v>5.8786466165413538</v>
      </c>
    </row>
    <row r="33" spans="1:6" x14ac:dyDescent="0.2">
      <c r="A33" s="29" t="s">
        <v>181</v>
      </c>
      <c r="B33">
        <v>7</v>
      </c>
      <c r="C33">
        <v>6.8230075187969934</v>
      </c>
    </row>
    <row r="34" spans="1:6" x14ac:dyDescent="0.2">
      <c r="A34" s="29" t="s">
        <v>181</v>
      </c>
      <c r="B34">
        <v>7.5</v>
      </c>
      <c r="C34">
        <v>7.3069924812030083</v>
      </c>
    </row>
    <row r="35" spans="1:6" x14ac:dyDescent="0.2">
      <c r="A35" s="29" t="s">
        <v>183</v>
      </c>
      <c r="B35">
        <v>0</v>
      </c>
      <c r="C35">
        <v>3.7184210526315797</v>
      </c>
    </row>
    <row r="36" spans="1:6" x14ac:dyDescent="0.2">
      <c r="A36" s="29" t="s">
        <v>183</v>
      </c>
      <c r="B36">
        <v>1</v>
      </c>
      <c r="C36">
        <v>4.0607518796992483</v>
      </c>
    </row>
    <row r="37" spans="1:6" x14ac:dyDescent="0.2">
      <c r="A37" s="29" t="s">
        <v>183</v>
      </c>
      <c r="B37">
        <v>2</v>
      </c>
      <c r="C37">
        <v>4.226015037593986</v>
      </c>
    </row>
    <row r="38" spans="1:6" x14ac:dyDescent="0.2">
      <c r="A38" s="29" t="s">
        <v>183</v>
      </c>
      <c r="B38">
        <v>3</v>
      </c>
      <c r="C38">
        <v>4.5919548872180469</v>
      </c>
    </row>
    <row r="39" spans="1:6" x14ac:dyDescent="0.2">
      <c r="A39" s="29" t="s">
        <v>183</v>
      </c>
      <c r="B39">
        <v>4</v>
      </c>
      <c r="C39">
        <v>5.0287218045112789</v>
      </c>
    </row>
    <row r="40" spans="1:6" x14ac:dyDescent="0.2">
      <c r="A40" s="29" t="s">
        <v>183</v>
      </c>
      <c r="B40">
        <v>5</v>
      </c>
      <c r="C40">
        <v>5.5363157894736847</v>
      </c>
    </row>
    <row r="41" spans="1:6" x14ac:dyDescent="0.2">
      <c r="A41" s="29" t="s">
        <v>183</v>
      </c>
      <c r="B41">
        <v>6</v>
      </c>
      <c r="C41">
        <v>6.1855639097744382</v>
      </c>
    </row>
    <row r="42" spans="1:6" x14ac:dyDescent="0.2">
      <c r="A42" s="29" t="s">
        <v>183</v>
      </c>
      <c r="B42">
        <v>7</v>
      </c>
      <c r="C42">
        <v>6.9528571428571446</v>
      </c>
    </row>
    <row r="43" spans="1:6" x14ac:dyDescent="0.2">
      <c r="A43" s="29" t="s">
        <v>183</v>
      </c>
      <c r="B43">
        <v>7.5</v>
      </c>
      <c r="C43">
        <v>7.401428571428573</v>
      </c>
    </row>
    <row r="44" spans="1:6" x14ac:dyDescent="0.2">
      <c r="A44" s="29" t="s">
        <v>205</v>
      </c>
      <c r="B44">
        <v>0</v>
      </c>
      <c r="C44" s="34">
        <v>83.419818945899806</v>
      </c>
    </row>
    <row r="45" spans="1:6" x14ac:dyDescent="0.2">
      <c r="A45" s="29" t="s">
        <v>205</v>
      </c>
      <c r="B45">
        <v>60</v>
      </c>
      <c r="C45" s="47">
        <v>99.581652695640003</v>
      </c>
    </row>
    <row r="46" spans="1:6" x14ac:dyDescent="0.2">
      <c r="A46" s="29" t="s">
        <v>205</v>
      </c>
      <c r="B46">
        <v>75</v>
      </c>
      <c r="C46" s="47">
        <v>117.294613968202</v>
      </c>
      <c r="F46" s="47"/>
    </row>
    <row r="47" spans="1:6" x14ac:dyDescent="0.2">
      <c r="A47" s="29" t="s">
        <v>205</v>
      </c>
      <c r="B47">
        <v>125</v>
      </c>
      <c r="C47" s="47">
        <v>170.917264752791</v>
      </c>
      <c r="F47" s="47"/>
    </row>
    <row r="48" spans="1:6" x14ac:dyDescent="0.2">
      <c r="A48" s="29" t="s">
        <v>206</v>
      </c>
      <c r="B48">
        <v>0</v>
      </c>
      <c r="C48" s="47">
        <v>83.713808706875596</v>
      </c>
      <c r="F48" s="47"/>
    </row>
    <row r="49" spans="1:6" x14ac:dyDescent="0.2">
      <c r="A49" s="29" t="s">
        <v>206</v>
      </c>
      <c r="B49">
        <v>60</v>
      </c>
      <c r="C49" s="47">
        <v>95.249958520682696</v>
      </c>
      <c r="F49" s="47"/>
    </row>
    <row r="50" spans="1:6" x14ac:dyDescent="0.2">
      <c r="A50" s="29" t="s">
        <v>206</v>
      </c>
      <c r="B50">
        <v>75</v>
      </c>
      <c r="C50" s="47">
        <v>105.00437690608</v>
      </c>
      <c r="F50" s="47"/>
    </row>
    <row r="51" spans="1:6" x14ac:dyDescent="0.2">
      <c r="A51" s="29" t="s">
        <v>206</v>
      </c>
      <c r="B51">
        <v>125</v>
      </c>
      <c r="C51" s="47">
        <v>164.954851392742</v>
      </c>
      <c r="F51" s="47"/>
    </row>
    <row r="52" spans="1:6" x14ac:dyDescent="0.2">
      <c r="A52" s="29" t="s">
        <v>208</v>
      </c>
      <c r="B52">
        <v>0</v>
      </c>
      <c r="C52" s="47">
        <v>21.615386619184299</v>
      </c>
      <c r="F52" s="47"/>
    </row>
    <row r="53" spans="1:6" x14ac:dyDescent="0.2">
      <c r="A53" s="29" t="s">
        <v>208</v>
      </c>
      <c r="B53">
        <v>60</v>
      </c>
      <c r="C53" s="47">
        <v>10.717974427714701</v>
      </c>
      <c r="F53" s="47"/>
    </row>
    <row r="54" spans="1:6" x14ac:dyDescent="0.2">
      <c r="A54" s="29" t="s">
        <v>208</v>
      </c>
      <c r="B54">
        <v>75</v>
      </c>
      <c r="C54" s="47">
        <v>6.8064429903292103</v>
      </c>
    </row>
    <row r="55" spans="1:6" x14ac:dyDescent="0.2">
      <c r="A55" s="29" t="s">
        <v>208</v>
      </c>
      <c r="B55">
        <v>125</v>
      </c>
      <c r="C55" s="47">
        <v>3.6671002579717298</v>
      </c>
    </row>
    <row r="56" spans="1:6" x14ac:dyDescent="0.2">
      <c r="A56" s="29" t="s">
        <v>209</v>
      </c>
      <c r="B56">
        <v>0</v>
      </c>
      <c r="C56" s="47">
        <v>21.615939218027101</v>
      </c>
    </row>
    <row r="57" spans="1:6" x14ac:dyDescent="0.2">
      <c r="A57" s="29" t="s">
        <v>209</v>
      </c>
      <c r="B57">
        <v>60</v>
      </c>
      <c r="C57" s="47">
        <v>11.0967701695389</v>
      </c>
    </row>
    <row r="58" spans="1:6" x14ac:dyDescent="0.2">
      <c r="A58" s="29" t="s">
        <v>209</v>
      </c>
      <c r="B58">
        <v>75</v>
      </c>
      <c r="C58" s="47">
        <v>3.6668798335724802</v>
      </c>
    </row>
    <row r="59" spans="1:6" x14ac:dyDescent="0.2">
      <c r="A59" s="29" t="s">
        <v>209</v>
      </c>
      <c r="B59">
        <v>125</v>
      </c>
      <c r="C59" s="47">
        <v>1.69677986493434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seans analysis</vt:lpstr>
      <vt:lpstr>analysis</vt:lpstr>
      <vt:lpstr>plotting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2024-03-21T04:01:49Z</dcterms:modified>
</cp:coreProperties>
</file>