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8EFBEA8F-FD9D-40F0-B68E-88B70F05263D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seans analysis" sheetId="6" state="hidden" r:id="rId1"/>
    <sheet name="alex analysis" sheetId="5" r:id="rId2"/>
    <sheet name="Sheet1" sheetId="7" r:id="rId3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7" l="1"/>
  <c r="G24" i="7" a="1"/>
  <c r="G24" i="7" s="1"/>
  <c r="B9" i="7"/>
  <c r="D26" i="7"/>
  <c r="D27" i="7"/>
  <c r="D28" i="7"/>
  <c r="D29" i="7"/>
  <c r="D30" i="7"/>
  <c r="D31" i="7"/>
  <c r="D32" i="7"/>
  <c r="D33" i="7"/>
  <c r="D25" i="7"/>
  <c r="D13" i="7"/>
  <c r="E13" i="7"/>
  <c r="F13" i="7"/>
  <c r="G13" i="7"/>
  <c r="H13" i="7"/>
  <c r="C13" i="7"/>
  <c r="AP17" i="5"/>
  <c r="AP18" i="5"/>
  <c r="AP20" i="5"/>
  <c r="AP21" i="5"/>
  <c r="AP22" i="5"/>
  <c r="AP24" i="5"/>
  <c r="AP25" i="5"/>
  <c r="AP26" i="5"/>
  <c r="AP16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K90" i="5" l="1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O27" i="5" l="1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I44" i="5"/>
  <c r="AI21" i="5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S36" i="5"/>
  <c r="S17" i="5"/>
  <c r="S29" i="5"/>
  <c r="S37" i="5"/>
  <c r="AM37" i="5" s="1"/>
  <c r="S19" i="5"/>
  <c r="S25" i="5"/>
  <c r="AM23" i="5" l="1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<sst xmlns="http://schemas.openxmlformats.org/spreadsheetml/2006/main" count="489" uniqueCount="137">
  <si>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</si>
  <si>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</si>
  <si>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</si>
  <si>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</si>
  <si>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</si>
  <si>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</si>
  <si>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</si>
  <si>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</si>
  <si>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</si>
  <si>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</si>
  <si>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</si>
  <si>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</si>
  <si>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</si>
  <si>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</si>
  <si>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</si>
  <si>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</si>
  <si>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</si>
  <si>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</si>
  <si>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</si>
  <si>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</si>
  <si>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</si>
  <si>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</si>
  <si>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</si>
  <si>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</si>
  <si>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</si>
  <si>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</si>
  <si>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</si>
  <si>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</si>
  <si>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</si>
  <si>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</si>
  <si>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</si>
  <si>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</si>
  <si>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</si>
  <si>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</si>
  <si>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</si>
  <si>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</si>
  <si>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</si>
  <si>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</si>
  <si>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</si>
  <si>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</si>
  <si>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</si>
  <si>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</si>
  <si>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</si>
  <si>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</si>
  <si>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</si>
  <si>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</si>
  <si>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</si>
  <si>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</si>
  <si>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</si>
  <si>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</si>
  <si>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</si>
  <si>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</si>
  <si>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</si>
  <si>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</si>
  <si>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</si>
  <si>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</si>
  <si>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</si>
  <si>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</si>
  <si>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</si>
  <si>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</si>
  <si>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</si>
  <si>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</si>
  <si>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</si>
  <si>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</si>
  <si>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</si>
  <si>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</si>
  <si>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</si>
  <si>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</si>
  <si>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</si>
  <si>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</si>
  <si>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</si>
  <si>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</si>
  <si>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</si>
  <si>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</si>
  <si>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</si>
  <si>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</si>
  <si>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</si>
  <si>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</si>
  <si>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</si>
  <si>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</si>
  <si>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</si>
  <si>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</si>
  <si>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</si>
  <si>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</si>
  <si>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</si>
  <si>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</si>
  <si>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</si>
  <si>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</si>
  <si>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</si>
  <si>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</si>
  <si>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</si>
  <si>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</si>
  <si>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</si>
  <si>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</si>
  <si>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</si>
  <si>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</si>
  <si>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</si>
  <si>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</si>
  <si>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</si>
  <si>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</si>
  <si>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</si>
  <si>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</si>
  <si>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</si>
  <si>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</si>
  <si>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</si>
  <si>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</si>
  <si>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</si>
  <si>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</si>
  <si>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</si>
  <si>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</si>
  <si>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</si>
  <si>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</si>
  <si>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</si>
  <si>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</si>
  <si>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</si>
  <si>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Torque Test</t>
  </si>
  <si>
    <t>Bolt</t>
  </si>
  <si>
    <t>Washer</t>
  </si>
  <si>
    <t>Repeatability at 50 lb-in torque (no external load)</t>
  </si>
  <si>
    <t>Torque (in-lb)</t>
  </si>
  <si>
    <t>Trial 4</t>
  </si>
  <si>
    <t>Trial 5</t>
  </si>
  <si>
    <t>No Gasket</t>
  </si>
  <si>
    <t>Nut Torque</t>
  </si>
  <si>
    <t>60 in-lb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</si>
  <si>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</si>
  <si>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</si>
  <si>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</si>
  <si>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</si>
  <si>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</si>
  <si>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</si>
  <si>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</si>
  <si>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</si>
  <si>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Bolt Body Cross Sectional Area</t>
  </si>
  <si>
    <t>mm^2</t>
  </si>
  <si>
    <t>slope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</si>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</sst>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6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11" fontId="0" fillId="0" borderId="0" xfId="0" applyNumberForma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39" t="s">
        <v>7</v>
      </c>
      <c r="E13" s="39"/>
      <c r="G13" s="37" t="s">
        <v>9</v>
      </c>
      <c r="H13" s="37"/>
      <c r="I13" s="37"/>
      <c r="L13" s="39" t="s">
        <v>24</v>
      </c>
      <c r="M13" s="39"/>
      <c r="R13" s="3" t="s">
        <v>40</v>
      </c>
      <c r="S13" s="23" t="s">
        <v>41</v>
      </c>
      <c r="Z13" s="37" t="s">
        <v>70</v>
      </c>
      <c r="AA13" s="37"/>
      <c r="AB13" s="37" t="s">
        <v>71</v>
      </c>
      <c r="AC13" s="37"/>
      <c r="AD13" s="37" t="s">
        <v>74</v>
      </c>
      <c r="AE13" s="37"/>
      <c r="AF13" s="37" t="s">
        <v>76</v>
      </c>
      <c r="AG13" s="37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8" t="s">
        <v>16</v>
      </c>
      <c r="H14" s="38"/>
      <c r="I14" s="38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37"/>
      <c r="L50" s="37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37"/>
      <c r="L52" s="37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39"/>
      <c r="B59" s="37"/>
      <c r="C59" s="39"/>
      <c r="D59" s="39"/>
      <c r="E59" s="6"/>
      <c r="F59" s="39"/>
      <c r="G59" s="39"/>
      <c r="H59" s="39"/>
      <c r="K59" s="37"/>
      <c r="L59" s="37"/>
      <c r="M59" s="8"/>
      <c r="N59" s="8"/>
    </row>
    <row r="60" spans="1:39" x14ac:dyDescent="0.25">
      <c r="A60" s="39"/>
      <c r="B60" s="37"/>
      <c r="F60" s="39"/>
      <c r="G60" s="39"/>
      <c r="H60" s="39"/>
      <c r="M60" s="8"/>
      <c r="N60" s="8"/>
    </row>
    <row r="61" spans="1:39" x14ac:dyDescent="0.25">
      <c r="A61" s="39"/>
      <c r="C61" s="37"/>
      <c r="D61" s="37"/>
      <c r="F61" s="37"/>
      <c r="G61" s="37"/>
      <c r="H61" s="37"/>
      <c r="K61" s="37"/>
      <c r="L61" s="37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P111"/>
  <sheetViews>
    <sheetView zoomScale="115" zoomScaleNormal="115" workbookViewId="0">
      <selection activeCell="B42" sqref="B42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2" x14ac:dyDescent="0.25">
      <c r="A1" s="1" t="s">
        <v>1</v>
      </c>
      <c r="B1" s="2">
        <v>5</v>
      </c>
      <c r="C1" s="3" t="s">
        <v>2</v>
      </c>
    </row>
    <row r="2" spans="1:42" x14ac:dyDescent="0.25">
      <c r="A2" s="1" t="s">
        <v>3</v>
      </c>
      <c r="B2" s="2">
        <v>998</v>
      </c>
      <c r="C2" s="3" t="s">
        <v>4</v>
      </c>
    </row>
    <row r="3" spans="1:42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2" x14ac:dyDescent="0.25">
      <c r="A4" s="1" t="s">
        <v>17</v>
      </c>
      <c r="B4" s="2">
        <v>1.502</v>
      </c>
      <c r="C4" s="3" t="s">
        <v>18</v>
      </c>
    </row>
    <row r="5" spans="1:42" x14ac:dyDescent="0.25">
      <c r="A5" s="1" t="s">
        <v>25</v>
      </c>
      <c r="B5" s="2">
        <f>50.8*10^(-3)</f>
        <v>5.0799999999999998E-2</v>
      </c>
      <c r="C5" s="3" t="s">
        <v>35</v>
      </c>
    </row>
    <row r="6" spans="1:42" x14ac:dyDescent="0.25">
      <c r="A6" s="1" t="s">
        <v>26</v>
      </c>
      <c r="B6" s="2">
        <f>38.1*10^(-3)</f>
        <v>3.8100000000000002E-2</v>
      </c>
      <c r="C6" s="3" t="s">
        <v>35</v>
      </c>
    </row>
    <row r="7" spans="1:42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2" x14ac:dyDescent="0.25">
      <c r="A8" s="1" t="s">
        <v>34</v>
      </c>
      <c r="B8" s="2">
        <f>9*10^(-3)</f>
        <v>9.0000000000000011E-3</v>
      </c>
      <c r="C8" s="3" t="s">
        <v>35</v>
      </c>
    </row>
    <row r="9" spans="1:42" x14ac:dyDescent="0.25">
      <c r="A9" s="1" t="s">
        <v>36</v>
      </c>
      <c r="B9" s="2">
        <v>8.5000000000000006E-3</v>
      </c>
      <c r="C9" s="3" t="s">
        <v>35</v>
      </c>
    </row>
    <row r="10" spans="1:42" ht="15.75" customHeight="1" x14ac:dyDescent="0.25">
      <c r="A10" s="1" t="s">
        <v>32</v>
      </c>
      <c r="B10" s="2">
        <v>5</v>
      </c>
      <c r="I10" s="22"/>
    </row>
    <row r="11" spans="1:42" x14ac:dyDescent="0.25">
      <c r="M11" s="11"/>
      <c r="N11" s="11"/>
    </row>
    <row r="12" spans="1:42" x14ac:dyDescent="0.25">
      <c r="B12" s="4"/>
      <c r="M12" s="11"/>
      <c r="N12" s="11"/>
      <c r="Y12" s="3" t="s">
        <v>54</v>
      </c>
      <c r="AK12" s="3" t="s">
        <v>55</v>
      </c>
    </row>
    <row r="13" spans="1:42" x14ac:dyDescent="0.25">
      <c r="D13" s="39" t="s">
        <v>7</v>
      </c>
      <c r="E13" s="39"/>
      <c r="G13" s="37" t="s">
        <v>9</v>
      </c>
      <c r="H13" s="37"/>
      <c r="I13" s="37"/>
      <c r="L13" s="39" t="s">
        <v>24</v>
      </c>
      <c r="M13" s="39"/>
      <c r="R13" s="3" t="s">
        <v>40</v>
      </c>
      <c r="S13" s="23" t="s">
        <v>41</v>
      </c>
      <c r="Z13" s="37" t="s">
        <v>70</v>
      </c>
      <c r="AA13" s="37"/>
      <c r="AB13" s="37" t="s">
        <v>71</v>
      </c>
      <c r="AC13" s="37"/>
      <c r="AD13" s="37" t="s">
        <v>74</v>
      </c>
      <c r="AE13" s="37"/>
      <c r="AF13" s="37" t="s">
        <v>76</v>
      </c>
      <c r="AG13" s="37"/>
      <c r="AO13" s="3" t="s">
        <v>83</v>
      </c>
    </row>
    <row r="14" spans="1:42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8" t="s">
        <v>16</v>
      </c>
      <c r="H14" s="38"/>
      <c r="I14" s="38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2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2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2">
        <f>IFERROR(Q16*Y16/K16, 0)</f>
        <v>2.3944576373171149E-2</v>
      </c>
      <c r="AL16" s="22">
        <f>R16*AI16/O16</f>
        <v>3.4881898218906493E-3</v>
      </c>
      <c r="AM16" s="28">
        <f>IFERROR(S16*AK16/Q16, 0)</f>
        <v>2.3524059815009852E-3</v>
      </c>
      <c r="AN16" s="7">
        <f>$B$4*F16/100*9.81</f>
        <v>1.2892792500000001</v>
      </c>
      <c r="AO16" s="34">
        <f>$B$2*9.81*K16*O16/(AN16*C16*2*PI()/60)*100</f>
        <v>37.010451746090069</v>
      </c>
      <c r="AP16" s="8">
        <f>AO16*SQRT((Y16/K16)^2+(AI16/O16)^2)</f>
        <v>0.88394101528140789</v>
      </c>
    </row>
    <row r="17" spans="1:42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2">
        <f t="shared" ref="AK17:AK49" si="19">IFERROR(Q17*Y17/K17, 0)</f>
        <v>2.0585318079401348E-2</v>
      </c>
      <c r="AL17" s="22">
        <f t="shared" ref="AL17:AL49" si="20">R17*AI17/O17</f>
        <v>3.4377692148134039E-3</v>
      </c>
      <c r="AM17" s="28">
        <f t="shared" ref="AM17:AM49" si="21">IFERROR(S17*AK17/Q17, 0)</f>
        <v>2.0223797083059789E-3</v>
      </c>
      <c r="AN17" s="7">
        <f t="shared" ref="AN17:AN27" si="22">$B$4*F17/100*9.81</f>
        <v>1.2524427</v>
      </c>
      <c r="AO17" s="34">
        <f t="shared" ref="AO17:AO27" si="23">$B$2*9.81*K17*O17/(AN17*C17*2*PI()/60)*100</f>
        <v>39.406990455603598</v>
      </c>
      <c r="AP17" s="8">
        <f t="shared" ref="AP17:AP26" si="24">AO17*SQRT((Y17/K17)^2+(AI17/O17)^2)</f>
        <v>0.85152620176970306</v>
      </c>
    </row>
    <row r="18" spans="1:42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5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2">
        <f t="shared" si="20"/>
        <v>3.3351520425563249E-3</v>
      </c>
      <c r="AM18" s="28">
        <f t="shared" si="21"/>
        <v>4.2104856478026285E-4</v>
      </c>
      <c r="AN18" s="7">
        <f t="shared" si="22"/>
        <v>1.0682599500000001</v>
      </c>
      <c r="AO18" s="34">
        <f t="shared" si="23"/>
        <v>36.959072152593905</v>
      </c>
      <c r="AP18" s="8">
        <f t="shared" si="24"/>
        <v>0.38171822644471037</v>
      </c>
    </row>
    <row r="19" spans="1:42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5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</row>
    <row r="20" spans="1:42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5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2">
        <f t="shared" si="19"/>
        <v>5.1047229921540947E-2</v>
      </c>
      <c r="AL20" s="22">
        <f t="shared" si="20"/>
        <v>2.1044053119980899E-3</v>
      </c>
      <c r="AM20" s="28">
        <f t="shared" si="21"/>
        <v>3.3433822934822006E-3</v>
      </c>
      <c r="AN20" s="7">
        <f t="shared" si="22"/>
        <v>2.4312123000000003</v>
      </c>
      <c r="AO20" s="34">
        <f t="shared" si="23"/>
        <v>40.916592886771006</v>
      </c>
      <c r="AP20" s="36">
        <f t="shared" si="24"/>
        <v>1.1995299740668006</v>
      </c>
    </row>
    <row r="21" spans="1:42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5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2">
        <f t="shared" si="19"/>
        <v>4.0486551696663868E-2</v>
      </c>
      <c r="AL21" s="22">
        <f t="shared" si="20"/>
        <v>1.8810392841836869E-3</v>
      </c>
      <c r="AM21" s="28">
        <f t="shared" si="21"/>
        <v>2.6517015766541635E-3</v>
      </c>
      <c r="AN21" s="7">
        <f t="shared" si="22"/>
        <v>2.4312123000000003</v>
      </c>
      <c r="AO21" s="34">
        <f t="shared" si="23"/>
        <v>42.673982331632686</v>
      </c>
      <c r="AP21" s="36">
        <f t="shared" si="24"/>
        <v>1.0176801122282624</v>
      </c>
    </row>
    <row r="22" spans="1:42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5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2">
        <f t="shared" si="19"/>
        <v>9.5445472286509216E-3</v>
      </c>
      <c r="AL22" s="22">
        <f t="shared" si="20"/>
        <v>1.491220111927277E-3</v>
      </c>
      <c r="AM22" s="29">
        <f t="shared" si="21"/>
        <v>6.251283419810062E-4</v>
      </c>
      <c r="AN22" s="7">
        <f t="shared" si="22"/>
        <v>2.1365199000000001</v>
      </c>
      <c r="AO22" s="34">
        <f t="shared" si="23"/>
        <v>49.917307149111032</v>
      </c>
      <c r="AP22" s="8">
        <f t="shared" si="24"/>
        <v>0.46801903534724748</v>
      </c>
    </row>
    <row r="23" spans="1:42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5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</row>
    <row r="24" spans="1:42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5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2">
        <f t="shared" si="19"/>
        <v>5.5556368380271962E-2</v>
      </c>
      <c r="AL24" s="22">
        <f t="shared" si="20"/>
        <v>1.4769297485459881E-3</v>
      </c>
      <c r="AM24" s="28">
        <f t="shared" si="21"/>
        <v>2.729034150603259E-3</v>
      </c>
      <c r="AN24" s="7">
        <f t="shared" si="22"/>
        <v>3.9046742999999999</v>
      </c>
      <c r="AO24" s="34">
        <f t="shared" si="23"/>
        <v>41.834907330788297</v>
      </c>
      <c r="AP24" s="36">
        <f t="shared" si="24"/>
        <v>0.99581938066018949</v>
      </c>
    </row>
    <row r="25" spans="1:42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0.2</v>
      </c>
      <c r="X25" s="15">
        <f t="shared" si="13"/>
        <v>1.0389379301921842</v>
      </c>
      <c r="Y25" s="21">
        <f t="shared" si="14"/>
        <v>4.4507639011784382E-4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5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0.15300495970901143</v>
      </c>
      <c r="AJ25" s="3">
        <v>0</v>
      </c>
      <c r="AK25" s="7">
        <f t="shared" si="19"/>
        <v>0.16662487916669469</v>
      </c>
      <c r="AL25" s="22">
        <f t="shared" si="20"/>
        <v>3.6218024577210038E-3</v>
      </c>
      <c r="AM25" s="28">
        <f t="shared" si="21"/>
        <v>8.1849299881077871E-3</v>
      </c>
      <c r="AN25" s="7">
        <f t="shared" si="22"/>
        <v>3.9046742999999999</v>
      </c>
      <c r="AO25" s="34">
        <f t="shared" si="23"/>
        <v>46.567659646009965</v>
      </c>
      <c r="AP25" s="36">
        <f t="shared" si="24"/>
        <v>3.3815067251001993</v>
      </c>
    </row>
    <row r="26" spans="1:42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5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2">
        <f t="shared" si="20"/>
        <v>8.3466891643269373E-4</v>
      </c>
      <c r="AM26" s="29">
        <f t="shared" si="21"/>
        <v>2.6005565417439914E-4</v>
      </c>
      <c r="AN26" s="7">
        <f t="shared" si="22"/>
        <v>2.9469240000000001</v>
      </c>
      <c r="AO26" s="34">
        <f t="shared" si="23"/>
        <v>44.898280449625048</v>
      </c>
      <c r="AP26" s="8">
        <f t="shared" si="24"/>
        <v>0.26971969939369633</v>
      </c>
    </row>
    <row r="27" spans="1:42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5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" t="s">
        <v>105</v>
      </c>
    </row>
    <row r="28" spans="1:42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6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7">L28*AD28</f>
        <v>0</v>
      </c>
      <c r="AG28" s="15">
        <f t="shared" si="17"/>
        <v>0</v>
      </c>
      <c r="AH28" s="15">
        <v>0</v>
      </c>
      <c r="AI28" s="15">
        <f t="shared" ref="AI28:AI41" si="28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2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6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7"/>
        <v>0</v>
      </c>
      <c r="AG29" s="15">
        <f t="shared" si="17"/>
        <v>0</v>
      </c>
      <c r="AH29" s="15">
        <v>0</v>
      </c>
      <c r="AI29" s="15">
        <f t="shared" si="28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2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6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7"/>
        <v>0</v>
      </c>
      <c r="AG30" s="15">
        <f t="shared" si="17"/>
        <v>0</v>
      </c>
      <c r="AH30" s="15">
        <v>0</v>
      </c>
      <c r="AI30" s="15">
        <f t="shared" si="28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2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6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7"/>
        <v>0</v>
      </c>
      <c r="AG31" s="15">
        <f t="shared" si="17"/>
        <v>0</v>
      </c>
      <c r="AH31" s="15">
        <v>0</v>
      </c>
      <c r="AI31" s="15">
        <f t="shared" si="28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2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6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7"/>
        <v>0</v>
      </c>
      <c r="AG32" s="15">
        <f t="shared" si="17"/>
        <v>0</v>
      </c>
      <c r="AH32" s="15">
        <v>0</v>
      </c>
      <c r="AI32" s="15">
        <f t="shared" si="28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6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7"/>
        <v>0</v>
      </c>
      <c r="AG33" s="15">
        <f t="shared" si="17"/>
        <v>0</v>
      </c>
      <c r="AH33" s="15">
        <v>0</v>
      </c>
      <c r="AI33" s="15">
        <f t="shared" si="28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6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7"/>
        <v>0</v>
      </c>
      <c r="AG34" s="15">
        <f t="shared" si="17"/>
        <v>0</v>
      </c>
      <c r="AH34" s="15">
        <v>0</v>
      </c>
      <c r="AI34" s="15">
        <f t="shared" si="28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6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7"/>
        <v>0</v>
      </c>
      <c r="AG35" s="15">
        <f t="shared" si="17"/>
        <v>0</v>
      </c>
      <c r="AH35" s="15">
        <v>0</v>
      </c>
      <c r="AI35" s="15">
        <f t="shared" si="28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6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7"/>
        <v>0</v>
      </c>
      <c r="AG36" s="15">
        <f t="shared" si="17"/>
        <v>0</v>
      </c>
      <c r="AH36" s="15">
        <v>0</v>
      </c>
      <c r="AI36" s="15">
        <f t="shared" si="28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6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7"/>
        <v>0</v>
      </c>
      <c r="AG37" s="15">
        <f t="shared" si="17"/>
        <v>0</v>
      </c>
      <c r="AH37" s="15">
        <v>0</v>
      </c>
      <c r="AI37" s="15">
        <f t="shared" si="28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6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7"/>
        <v>0</v>
      </c>
      <c r="AG38" s="15">
        <f t="shared" si="17"/>
        <v>0</v>
      </c>
      <c r="AH38" s="15">
        <v>0</v>
      </c>
      <c r="AI38" s="15">
        <f t="shared" si="28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6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7"/>
        <v>0</v>
      </c>
      <c r="AG39" s="15">
        <f t="shared" si="17"/>
        <v>0</v>
      </c>
      <c r="AH39" s="15">
        <v>0</v>
      </c>
      <c r="AI39" s="15">
        <f t="shared" si="28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6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7"/>
        <v>0</v>
      </c>
      <c r="AG40" s="15">
        <f t="shared" si="17"/>
        <v>0</v>
      </c>
      <c r="AH40" s="15">
        <v>0</v>
      </c>
      <c r="AI40" s="15">
        <f t="shared" si="28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5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6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7"/>
        <v>0</v>
      </c>
      <c r="AG41" s="15">
        <f t="shared" si="17"/>
        <v>0</v>
      </c>
      <c r="AH41" s="15">
        <v>0</v>
      </c>
      <c r="AI41" s="15">
        <f t="shared" si="28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9">N42+8*K42^2/(PI()^2*$B$6^4*9.81)*(1-($B$6/$B$5)^4)</f>
        <v>11.256986832203168</v>
      </c>
      <c r="P42" s="8">
        <f t="shared" ref="P42:P44" si="30">$B$7/2*2*PI()/60*C42</f>
        <v>15.268140296446393</v>
      </c>
      <c r="Q42" s="8">
        <f t="shared" ref="Q42:Q45" si="31">K42/($B$8*(2*PI()*$B$7/2-$B$10*$B$9))</f>
        <v>2.7202780690215822</v>
      </c>
      <c r="R42" s="22">
        <f t="shared" ref="R42:R45" si="32">O42*9.81/P42^2</f>
        <v>0.47371690321318732</v>
      </c>
      <c r="S42" s="25">
        <f t="shared" ref="S42:S45" si="33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4">L42*AD42/D42</f>
        <v>3.5211912101471038E-2</v>
      </c>
      <c r="AG42" s="15">
        <f t="shared" si="34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2">
        <f t="shared" si="20"/>
        <v>6.4924095572707263E-3</v>
      </c>
      <c r="AM42" s="19">
        <f t="shared" si="21"/>
        <v>9.5838558336299937E-3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9"/>
        <v>11.692307952536082</v>
      </c>
      <c r="P43" s="8">
        <f t="shared" si="30"/>
        <v>15.268140296446393</v>
      </c>
      <c r="Q43" s="8">
        <f t="shared" si="31"/>
        <v>2.352351058303686</v>
      </c>
      <c r="R43" s="22">
        <f t="shared" si="32"/>
        <v>0.49203610142326842</v>
      </c>
      <c r="S43" s="25">
        <f t="shared" si="33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5">L43*AD43/D43</f>
        <v>3.5211912101471038E-2</v>
      </c>
      <c r="AG43" s="15">
        <f t="shared" ref="AG43:AG49" si="36">M43*AE43/E43</f>
        <v>3.5211912101471031E-2</v>
      </c>
      <c r="AH43" s="15">
        <f t="shared" ref="AH43:AH45" si="37">SQRT((AF43/2)^2+(AG43/2)^2)</f>
        <v>2.4898581825494825E-2</v>
      </c>
      <c r="AI43" s="15">
        <f t="shared" ref="AI43:AI49" si="38">SQRT(AH43^2+(16*K43/(PI()^2*$B$6^4*9.81)*(1-($B$6/$B$5)^(4))*Y43)^2)</f>
        <v>4.1133546763215144E-2</v>
      </c>
      <c r="AJ43" s="3">
        <v>0</v>
      </c>
      <c r="AK43" s="22">
        <f t="shared" si="19"/>
        <v>3.6388349848351598E-2</v>
      </c>
      <c r="AL43" s="22">
        <f t="shared" si="20"/>
        <v>1.7309833156330925E-3</v>
      </c>
      <c r="AM43" s="19">
        <f t="shared" si="21"/>
        <v>2.3832863165935709E-3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9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9"/>
        <v>12.543894388300366</v>
      </c>
      <c r="P44" s="8">
        <f t="shared" si="30"/>
        <v>15.268140296446393</v>
      </c>
      <c r="Q44" s="7">
        <f t="shared" si="31"/>
        <v>0.82981415858229679</v>
      </c>
      <c r="R44" s="22">
        <f t="shared" si="32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5"/>
        <v>3.5211912101471038E-2</v>
      </c>
      <c r="AG44" s="15">
        <f t="shared" si="36"/>
        <v>3.5211912101471038E-2</v>
      </c>
      <c r="AH44" s="15">
        <f t="shared" si="37"/>
        <v>2.4898581825494828E-2</v>
      </c>
      <c r="AI44" s="15">
        <f t="shared" si="38"/>
        <v>2.4937819217776595E-2</v>
      </c>
      <c r="AJ44" s="3">
        <v>0</v>
      </c>
      <c r="AK44" s="10">
        <f t="shared" si="19"/>
        <v>4.405586514266026E-3</v>
      </c>
      <c r="AL44" s="22">
        <f t="shared" si="20"/>
        <v>1.0494341575438583E-3</v>
      </c>
      <c r="AM44" s="20">
        <f t="shared" si="21"/>
        <v>2.885476835244572E-4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9"/>
        <v>12.500228796022217</v>
      </c>
      <c r="P45" s="8">
        <f>$B$7/2*2*PI()/60*C45</f>
        <v>15.268140296446393</v>
      </c>
      <c r="Q45" s="7">
        <f t="shared" si="31"/>
        <v>0</v>
      </c>
      <c r="R45" s="22">
        <f t="shared" si="32"/>
        <v>0.52603505387142835</v>
      </c>
      <c r="S45" s="25">
        <f t="shared" si="33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5"/>
        <v>3.5211912101471038E-2</v>
      </c>
      <c r="AG45" s="15">
        <f t="shared" si="36"/>
        <v>3.5211912101471038E-2</v>
      </c>
      <c r="AH45" s="15">
        <f t="shared" si="37"/>
        <v>2.4898581825494828E-2</v>
      </c>
      <c r="AI45" s="15">
        <f t="shared" si="38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9"/>
        <v>5.5835565479854053E-3</v>
      </c>
      <c r="L46" s="7">
        <f t="shared" ref="L46:L49" si="40">5*D46/($B$2*9.81)*6894.76</f>
        <v>2.3944100229000305</v>
      </c>
      <c r="M46" s="7">
        <f t="shared" ref="M46:M49" si="41">5*E46/($B$2*9.81)*6894.76</f>
        <v>5.9156012330471341</v>
      </c>
      <c r="N46" s="7">
        <f>L46+M46</f>
        <v>8.3100112559471651</v>
      </c>
      <c r="O46" s="7">
        <f t="shared" si="29"/>
        <v>9.1456936498984369</v>
      </c>
      <c r="P46" s="8">
        <f t="shared" ref="P46:P49" si="42">$B$7/2*2*PI()/60*C46</f>
        <v>15.268140296446393</v>
      </c>
      <c r="Q46" s="7">
        <f>K46/($B$8*(2*PI()*$B$7/2-$B$10*$B$9))</f>
        <v>2.0903365260110558</v>
      </c>
      <c r="R46" s="22">
        <f t="shared" ref="R46:R49" si="43">O46*9.81/P46^2</f>
        <v>0.38486939161840239</v>
      </c>
      <c r="S46" s="25">
        <f t="shared" ref="S46:S49" si="44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5">SQRT(Z46^2+AB46^2)</f>
        <v>0.01</v>
      </c>
      <c r="AE46" s="3">
        <f t="shared" ref="AE46:AE49" si="46">SQRT(AA46^2+AC46^2)</f>
        <v>0.01</v>
      </c>
      <c r="AF46" s="15">
        <f t="shared" si="35"/>
        <v>3.5211912101471031E-2</v>
      </c>
      <c r="AG46" s="15">
        <f t="shared" si="36"/>
        <v>3.5211912101471038E-2</v>
      </c>
      <c r="AH46" s="15">
        <f>SQRT(AF46^2+AG46^2)</f>
        <v>4.979716365098965E-2</v>
      </c>
      <c r="AI46" s="14">
        <f t="shared" si="38"/>
        <v>9.7683179625164276E-2</v>
      </c>
      <c r="AJ46" s="3">
        <v>0</v>
      </c>
      <c r="AK46" s="7">
        <f t="shared" si="19"/>
        <v>0.10510330773485922</v>
      </c>
      <c r="AL46" s="22">
        <f t="shared" si="20"/>
        <v>4.1107068914456356E-3</v>
      </c>
      <c r="AM46" s="19">
        <f t="shared" si="21"/>
        <v>6.8838316713215981E-3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9"/>
        <v>5.4485694666055393E-3</v>
      </c>
      <c r="L47" s="7">
        <f t="shared" si="40"/>
        <v>3.1690720891323929</v>
      </c>
      <c r="M47" s="7">
        <f t="shared" si="41"/>
        <v>6.4789918266706712</v>
      </c>
      <c r="N47" s="7">
        <f t="shared" ref="N47:N49" si="47">L47+M47</f>
        <v>9.6480639158030641</v>
      </c>
      <c r="O47" s="8">
        <f t="shared" si="29"/>
        <v>10.443828120193732</v>
      </c>
      <c r="P47" s="8">
        <f t="shared" si="42"/>
        <v>15.268140296446393</v>
      </c>
      <c r="Q47" s="7">
        <f t="shared" ref="Q47:Q49" si="48">K47/($B$8*(2*PI()*$B$7/2-$B$10*$B$9))</f>
        <v>2.0398009176899095</v>
      </c>
      <c r="R47" s="22">
        <f t="shared" si="43"/>
        <v>0.43949753060346181</v>
      </c>
      <c r="S47" s="25">
        <f t="shared" si="44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5"/>
        <v>0.01</v>
      </c>
      <c r="AE47" s="3">
        <f t="shared" si="46"/>
        <v>0.01</v>
      </c>
      <c r="AF47" s="15">
        <f t="shared" si="35"/>
        <v>3.5211912101471031E-2</v>
      </c>
      <c r="AG47" s="15">
        <f t="shared" si="36"/>
        <v>3.5211912101471038E-2</v>
      </c>
      <c r="AH47" s="15">
        <f t="shared" ref="AH47:AH49" si="49">SQRT(AF47^2+AG47^2)</f>
        <v>4.979716365098965E-2</v>
      </c>
      <c r="AI47" s="15">
        <f t="shared" si="38"/>
        <v>5.7694103995025177E-2</v>
      </c>
      <c r="AJ47" s="3">
        <v>0</v>
      </c>
      <c r="AK47" s="22">
        <f t="shared" si="19"/>
        <v>3.7341297862497604E-2</v>
      </c>
      <c r="AL47" s="22">
        <f t="shared" si="20"/>
        <v>2.4278852490079591E-3</v>
      </c>
      <c r="AM47" s="19">
        <f t="shared" si="21"/>
        <v>2.4457004676063047E-3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9"/>
        <v>2.9829457646423892E-3</v>
      </c>
      <c r="L48" s="8">
        <f t="shared" si="40"/>
        <v>10.17624259732513</v>
      </c>
      <c r="M48" s="8">
        <f t="shared" si="41"/>
        <v>11.479083345079555</v>
      </c>
      <c r="N48" s="8">
        <f t="shared" si="47"/>
        <v>21.655325942404687</v>
      </c>
      <c r="O48" s="8">
        <f t="shared" si="29"/>
        <v>21.893837884806008</v>
      </c>
      <c r="P48" s="8">
        <f t="shared" si="42"/>
        <v>15.268140296446393</v>
      </c>
      <c r="Q48" s="7">
        <f t="shared" si="48"/>
        <v>1.1167363370201266</v>
      </c>
      <c r="R48" s="22">
        <f t="shared" si="43"/>
        <v>0.92133723143140611</v>
      </c>
      <c r="S48" s="25">
        <f t="shared" si="44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5"/>
        <v>0.01</v>
      </c>
      <c r="AE48" s="3">
        <f t="shared" si="46"/>
        <v>0.01</v>
      </c>
      <c r="AF48" s="15">
        <f t="shared" si="35"/>
        <v>3.5211912101471038E-2</v>
      </c>
      <c r="AG48" s="15">
        <f t="shared" si="36"/>
        <v>3.5211912101471031E-2</v>
      </c>
      <c r="AH48" s="15">
        <f t="shared" si="49"/>
        <v>4.979716365098965E-2</v>
      </c>
      <c r="AI48" s="15">
        <f t="shared" si="38"/>
        <v>5.0647966676196698E-2</v>
      </c>
      <c r="AJ48" s="3">
        <v>0</v>
      </c>
      <c r="AK48" s="22">
        <f t="shared" si="19"/>
        <v>2.1641605634522113E-2</v>
      </c>
      <c r="AL48" s="22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0"/>
        <v>12.394593059717804</v>
      </c>
      <c r="M49" s="8">
        <f t="shared" si="41"/>
        <v>12.500228796022217</v>
      </c>
      <c r="N49" s="8">
        <f t="shared" si="47"/>
        <v>24.89482185574002</v>
      </c>
      <c r="O49" s="8">
        <f t="shared" si="29"/>
        <v>24.89482185574002</v>
      </c>
      <c r="P49" s="8">
        <f t="shared" si="42"/>
        <v>15.268140296446393</v>
      </c>
      <c r="Q49" s="7">
        <f t="shared" si="48"/>
        <v>0</v>
      </c>
      <c r="R49" s="22">
        <f t="shared" si="43"/>
        <v>1.0476247410904223</v>
      </c>
      <c r="S49" s="25">
        <f t="shared" si="44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5"/>
        <v>0.01</v>
      </c>
      <c r="AE49" s="3">
        <f t="shared" si="46"/>
        <v>0.01</v>
      </c>
      <c r="AF49" s="15">
        <f t="shared" si="35"/>
        <v>3.5211912101471038E-2</v>
      </c>
      <c r="AG49" s="15">
        <f t="shared" si="36"/>
        <v>3.5211912101471038E-2</v>
      </c>
      <c r="AH49" s="15">
        <f t="shared" si="49"/>
        <v>4.9797163650989656E-2</v>
      </c>
      <c r="AI49" s="15">
        <f t="shared" si="38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32">
        <f>_xlfn.COT(RADIANS(B51))</f>
        <v>1.5398649638145827</v>
      </c>
    </row>
    <row r="54" spans="1:39" x14ac:dyDescent="0.25">
      <c r="C54" s="37" t="s">
        <v>81</v>
      </c>
      <c r="D54" s="37"/>
      <c r="E54" s="37"/>
      <c r="F54" s="37" t="s">
        <v>82</v>
      </c>
      <c r="G54" s="37"/>
      <c r="H54" s="37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0">K43</f>
        <v>6.2834309171338068E-3</v>
      </c>
      <c r="D57" s="8">
        <f>N43</f>
        <v>10.633997454644252</v>
      </c>
      <c r="E57" s="8">
        <f t="shared" ref="E57" si="51">O43</f>
        <v>11.692307952536082</v>
      </c>
      <c r="F57" s="9">
        <f t="shared" ref="F57:F59" si="52">2*K21</f>
        <v>9.4984640126648291E-3</v>
      </c>
      <c r="G57" s="7">
        <f t="shared" ref="G57:G59" si="53">N21</f>
        <v>5.7043297604383083</v>
      </c>
      <c r="H57" s="7">
        <f t="shared" ref="H57:H59" si="54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0"/>
        <v>2.2165398829846967E-3</v>
      </c>
      <c r="D58" s="8">
        <f t="shared" ref="D58:E58" si="55">N44</f>
        <v>12.41219901576854</v>
      </c>
      <c r="E58" s="8">
        <f t="shared" si="55"/>
        <v>12.543894388300366</v>
      </c>
      <c r="F58" s="9">
        <f t="shared" si="52"/>
        <v>5.8225878467728668E-3</v>
      </c>
      <c r="G58" s="8">
        <f t="shared" si="53"/>
        <v>10.352302157832483</v>
      </c>
      <c r="H58" s="8">
        <f t="shared" si="54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6">N45</f>
        <v>12.500228796022217</v>
      </c>
      <c r="E59" s="8">
        <f t="shared" si="56"/>
        <v>12.500228796022217</v>
      </c>
      <c r="F59" s="13">
        <f t="shared" si="52"/>
        <v>0</v>
      </c>
      <c r="G59" s="8">
        <f t="shared" si="53"/>
        <v>12.394593059717804</v>
      </c>
      <c r="H59" s="8">
        <f t="shared" si="54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7">K46</f>
        <v>5.5835565479854053E-3</v>
      </c>
      <c r="D60" s="7">
        <f>N46</f>
        <v>8.3100112559471651</v>
      </c>
      <c r="E60" s="8">
        <f t="shared" ref="E60" si="58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7"/>
        <v>5.4485694666055393E-3</v>
      </c>
      <c r="D61" s="7">
        <f t="shared" ref="D61:E61" si="59">N47</f>
        <v>9.6480639158030641</v>
      </c>
      <c r="E61" s="8">
        <f t="shared" si="59"/>
        <v>10.443828120193732</v>
      </c>
      <c r="F61" s="9">
        <f t="shared" ref="F61:F63" si="60">K21</f>
        <v>4.7492320063324146E-3</v>
      </c>
      <c r="G61" s="8">
        <f t="shared" ref="G61:G63" si="61">2*N21</f>
        <v>11.408659520876617</v>
      </c>
      <c r="H61" s="8">
        <f t="shared" ref="H61:H63" si="62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7"/>
        <v>2.9829457646423892E-3</v>
      </c>
      <c r="D62" s="8">
        <f t="shared" ref="D62:E62" si="63">N48</f>
        <v>21.655325942404687</v>
      </c>
      <c r="E62" s="8">
        <f t="shared" si="63"/>
        <v>21.893837884806008</v>
      </c>
      <c r="F62" s="9">
        <f t="shared" si="60"/>
        <v>2.9112939233864334E-3</v>
      </c>
      <c r="G62" s="3">
        <f t="shared" si="61"/>
        <v>20.704604315664966</v>
      </c>
      <c r="H62" s="8">
        <f t="shared" si="62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7"/>
        <v>0</v>
      </c>
      <c r="D63" s="8">
        <f t="shared" ref="D63:E63" si="64">N49</f>
        <v>24.89482185574002</v>
      </c>
      <c r="E63" s="8">
        <f t="shared" si="64"/>
        <v>24.89482185574002</v>
      </c>
      <c r="F63" s="13">
        <f t="shared" si="60"/>
        <v>0</v>
      </c>
      <c r="G63" s="8">
        <f t="shared" si="61"/>
        <v>24.789186119435609</v>
      </c>
      <c r="H63" s="8">
        <f t="shared" si="62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5">$B$8</f>
        <v>9.0000000000000011E-3</v>
      </c>
      <c r="D68" s="3">
        <f t="shared" ref="D68:D86" si="66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7">B68/2*F68*2*PI()/60</f>
        <v>20.357520395261862</v>
      </c>
      <c r="J68" s="14">
        <f t="shared" ref="J68:J106" si="68">E68/(C68*(2*PI()*B68/2-$B$10*D68))</f>
        <v>2.5083035523885377</v>
      </c>
      <c r="K68" s="7">
        <f t="shared" ref="K68:K106" si="69">G68*9.81/I68^2</f>
        <v>0.38110542089750205</v>
      </c>
      <c r="L68" s="7">
        <f t="shared" ref="L68:L106" si="70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5"/>
        <v>9.0000000000000011E-3</v>
      </c>
      <c r="D69" s="3">
        <f t="shared" si="66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7"/>
        <v>20.357520395261862</v>
      </c>
      <c r="J69" s="14">
        <f t="shared" si="68"/>
        <v>2.0216177884922546</v>
      </c>
      <c r="K69" s="7">
        <f t="shared" si="69"/>
        <v>0.45922019660941232</v>
      </c>
      <c r="L69" s="7">
        <f t="shared" si="70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5"/>
        <v>9.0000000000000011E-3</v>
      </c>
      <c r="D70" s="3">
        <f t="shared" si="66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7"/>
        <v>20.357520395261862</v>
      </c>
      <c r="J70" s="14">
        <f t="shared" si="68"/>
        <v>1.4974946581424107</v>
      </c>
      <c r="K70" s="7">
        <f t="shared" si="69"/>
        <v>0.51129671375068597</v>
      </c>
      <c r="L70" s="7">
        <f t="shared" si="70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5"/>
        <v>9.0000000000000011E-3</v>
      </c>
      <c r="D71" s="3">
        <f t="shared" si="66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7"/>
        <v>20.357520395261862</v>
      </c>
      <c r="J71" s="14">
        <f t="shared" si="68"/>
        <v>1.0108088942461273</v>
      </c>
      <c r="K71" s="7">
        <f t="shared" si="69"/>
        <v>0.53970208673683517</v>
      </c>
      <c r="L71" s="7">
        <f t="shared" si="70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5"/>
        <v>9.0000000000000011E-3</v>
      </c>
      <c r="D72" s="3">
        <f t="shared" si="66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7"/>
        <v>19.226547039969535</v>
      </c>
      <c r="J72" s="14">
        <f t="shared" si="68"/>
        <v>3.0381988876492994</v>
      </c>
      <c r="K72" s="7">
        <f t="shared" si="69"/>
        <v>0.2096493445655927</v>
      </c>
      <c r="L72" s="7">
        <f t="shared" si="70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5"/>
        <v>9.0000000000000011E-3</v>
      </c>
      <c r="D73" s="3">
        <f t="shared" si="66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7"/>
        <v>19.226547039969535</v>
      </c>
      <c r="J73" s="14">
        <f t="shared" si="68"/>
        <v>2.518506972656656</v>
      </c>
      <c r="K73" s="7">
        <f t="shared" si="69"/>
        <v>0.34499259232312718</v>
      </c>
      <c r="L73" s="7">
        <f t="shared" si="70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5"/>
        <v>9.0000000000000011E-3</v>
      </c>
      <c r="D74" s="3">
        <f t="shared" si="66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7"/>
        <v>19.226547039969535</v>
      </c>
      <c r="J74" s="14">
        <f t="shared" si="68"/>
        <v>1.9988150576640129</v>
      </c>
      <c r="K74" s="7">
        <f t="shared" si="69"/>
        <v>0.43256763498976725</v>
      </c>
      <c r="L74" s="7">
        <f t="shared" si="70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5"/>
        <v>9.0000000000000011E-3</v>
      </c>
      <c r="D75" s="3">
        <f t="shared" si="66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7"/>
        <v>19.226547039969535</v>
      </c>
      <c r="J75" s="14">
        <f t="shared" si="68"/>
        <v>1.5190994438246497</v>
      </c>
      <c r="K75" s="7">
        <f t="shared" si="69"/>
        <v>0.47768205090894539</v>
      </c>
      <c r="L75" s="7">
        <f t="shared" si="70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5"/>
        <v>9.0000000000000011E-3</v>
      </c>
      <c r="D76" s="3">
        <f t="shared" si="66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7"/>
        <v>19.226547039969535</v>
      </c>
      <c r="J76" s="14">
        <f t="shared" si="68"/>
        <v>0.99940752883200645</v>
      </c>
      <c r="K76" s="7">
        <f t="shared" si="69"/>
        <v>0.50952752096954168</v>
      </c>
      <c r="L76" s="7">
        <f t="shared" si="70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5"/>
        <v>9.0000000000000011E-3</v>
      </c>
      <c r="D77" s="3">
        <f t="shared" si="66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7"/>
        <v>18.095573684677209</v>
      </c>
      <c r="J77" s="14">
        <f t="shared" si="68"/>
        <v>3.0448109727843837</v>
      </c>
      <c r="K77" s="7">
        <f t="shared" si="69"/>
        <v>0.19922596561183958</v>
      </c>
      <c r="L77" s="7">
        <f t="shared" si="70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5"/>
        <v>9.0000000000000011E-3</v>
      </c>
      <c r="D78" s="3">
        <f t="shared" si="66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7"/>
        <v>18.095573684677209</v>
      </c>
      <c r="J78" s="14">
        <f t="shared" si="68"/>
        <v>2.5301950337222343</v>
      </c>
      <c r="K78" s="7">
        <f t="shared" si="69"/>
        <v>0.32954671003462188</v>
      </c>
      <c r="L78" s="7">
        <f t="shared" si="70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5"/>
        <v>9.0000000000000011E-3</v>
      </c>
      <c r="D79" s="3">
        <f t="shared" si="66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7"/>
        <v>18.095573684677209</v>
      </c>
      <c r="J79" s="14">
        <f t="shared" si="68"/>
        <v>2.0155790946600849</v>
      </c>
      <c r="K79" s="7">
        <f t="shared" si="69"/>
        <v>0.41642720631647673</v>
      </c>
      <c r="L79" s="7">
        <f t="shared" si="70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5"/>
        <v>9.0000000000000011E-3</v>
      </c>
      <c r="D80" s="3">
        <f t="shared" si="66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7"/>
        <v>18.095573684677209</v>
      </c>
      <c r="J80" s="14">
        <f t="shared" si="68"/>
        <v>1.5009631555979355</v>
      </c>
      <c r="K80" s="7">
        <f t="shared" si="69"/>
        <v>0.47334891077700236</v>
      </c>
      <c r="L80" s="7">
        <f t="shared" si="70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5"/>
        <v>9.0000000000000011E-3</v>
      </c>
      <c r="D81" s="3">
        <f t="shared" si="66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7"/>
        <v>18.095573684677209</v>
      </c>
      <c r="J81" s="14">
        <f t="shared" si="68"/>
        <v>1.0292318781242986</v>
      </c>
      <c r="K81" s="7">
        <f t="shared" si="69"/>
        <v>0.50330770259833157</v>
      </c>
      <c r="L81" s="7">
        <f t="shared" si="70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5"/>
        <v>9.0000000000000011E-3</v>
      </c>
      <c r="D82" s="3">
        <f t="shared" si="66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7"/>
        <v>15.64513141487717</v>
      </c>
      <c r="J82" s="14">
        <f t="shared" si="68"/>
        <v>3.0036608329602066</v>
      </c>
      <c r="K82" s="7">
        <f t="shared" si="69"/>
        <v>0.10300153568634084</v>
      </c>
      <c r="L82" s="7">
        <f t="shared" si="70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5"/>
        <v>9.0000000000000011E-3</v>
      </c>
      <c r="D83" s="3">
        <f t="shared" si="66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7"/>
        <v>15.64513141487717</v>
      </c>
      <c r="J83" s="14">
        <f t="shared" si="68"/>
        <v>2.4945657765262732</v>
      </c>
      <c r="K83" s="7">
        <f t="shared" si="69"/>
        <v>0.23846659040222878</v>
      </c>
      <c r="L83" s="7">
        <f t="shared" si="70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5"/>
        <v>9.0000000000000011E-3</v>
      </c>
      <c r="D84" s="3">
        <f t="shared" si="66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7"/>
        <v>15.64513141487717</v>
      </c>
      <c r="J84" s="14">
        <f t="shared" si="68"/>
        <v>1.98547072009234</v>
      </c>
      <c r="K84" s="7">
        <f t="shared" si="69"/>
        <v>0.33705950004752</v>
      </c>
      <c r="L84" s="7">
        <f t="shared" si="70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5"/>
        <v>9.0000000000000011E-3</v>
      </c>
      <c r="D85" s="3">
        <f t="shared" si="66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7"/>
        <v>15.64513141487717</v>
      </c>
      <c r="J85" s="14">
        <f t="shared" si="68"/>
        <v>1.4763756636584067</v>
      </c>
      <c r="K85" s="7">
        <f t="shared" si="69"/>
        <v>0.39717712788001464</v>
      </c>
      <c r="L85" s="7">
        <f t="shared" si="70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5"/>
        <v>9.0000000000000011E-3</v>
      </c>
      <c r="D86" s="3">
        <f t="shared" si="66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7"/>
        <v>15.64513141487717</v>
      </c>
      <c r="J86" s="14">
        <f t="shared" si="68"/>
        <v>1.0181901128678668</v>
      </c>
      <c r="K86" s="7">
        <f t="shared" si="69"/>
        <v>0.42082339482746262</v>
      </c>
      <c r="L86" s="7">
        <f t="shared" si="70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7"/>
        <v>20.357520395261862</v>
      </c>
      <c r="J87" s="14">
        <f t="shared" si="68"/>
        <v>2.9949893162848213</v>
      </c>
      <c r="K87" s="7">
        <f t="shared" si="69"/>
        <v>0.24381278479778079</v>
      </c>
      <c r="L87" s="7">
        <f t="shared" si="70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1">$B$8*B88/$B$7</f>
        <v>9.0000000000000011E-3</v>
      </c>
      <c r="D88" s="3">
        <f t="shared" ref="D88:D91" si="72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7"/>
        <v>20.357520395261862</v>
      </c>
      <c r="J88" s="14">
        <f t="shared" si="68"/>
        <v>2.5083035523885377</v>
      </c>
      <c r="K88" s="7">
        <f t="shared" si="69"/>
        <v>0.38110542089750205</v>
      </c>
      <c r="L88" s="7">
        <f t="shared" si="70"/>
        <v>0.123212626277036</v>
      </c>
    </row>
    <row r="89" spans="1:14" x14ac:dyDescent="0.25">
      <c r="A89" s="2" t="s">
        <v>91</v>
      </c>
      <c r="B89" s="3">
        <v>0.108</v>
      </c>
      <c r="C89" s="22">
        <f t="shared" si="71"/>
        <v>9.0000000000000011E-3</v>
      </c>
      <c r="D89" s="3">
        <f t="shared" si="72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7"/>
        <v>20.357520395261862</v>
      </c>
      <c r="J89" s="14">
        <f t="shared" si="68"/>
        <v>2.0216177884922546</v>
      </c>
      <c r="K89" s="7">
        <f t="shared" si="69"/>
        <v>0.45922019660941232</v>
      </c>
      <c r="L89" s="7">
        <f t="shared" si="70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1"/>
        <v>9.0000000000000011E-3</v>
      </c>
      <c r="D90" s="3">
        <f t="shared" si="72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8"/>
        <v>1.4974946581424107</v>
      </c>
      <c r="K90" s="7">
        <f t="shared" si="69"/>
        <v>0.51129671375068597</v>
      </c>
      <c r="L90" s="7">
        <f t="shared" si="70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1"/>
        <v>9.0000000000000011E-3</v>
      </c>
      <c r="D91" s="3">
        <f t="shared" si="72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7"/>
        <v>20.357520395261862</v>
      </c>
      <c r="J91" s="14">
        <f t="shared" si="68"/>
        <v>1.0108088942461273</v>
      </c>
      <c r="K91" s="7">
        <f t="shared" si="69"/>
        <v>0.53970208673683517</v>
      </c>
      <c r="L91" s="7">
        <f t="shared" si="70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1"/>
        <v>8.5000000000000006E-3</v>
      </c>
      <c r="D92" s="3">
        <f t="shared" ref="D92:D106" si="73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7"/>
        <v>19.226547039969535</v>
      </c>
      <c r="J92" s="14">
        <f t="shared" si="68"/>
        <v>3.1898190711158065</v>
      </c>
      <c r="K92" s="7">
        <f t="shared" si="69"/>
        <v>0.2096493445655927</v>
      </c>
      <c r="L92" s="7">
        <f t="shared" si="70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1"/>
        <v>8.5000000000000006E-3</v>
      </c>
      <c r="D93" s="3">
        <f t="shared" si="73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7"/>
        <v>19.226547039969535</v>
      </c>
      <c r="J93" s="14">
        <f t="shared" si="68"/>
        <v>2.6441921247407345</v>
      </c>
      <c r="K93" s="7">
        <f t="shared" si="69"/>
        <v>0.34499259232312718</v>
      </c>
      <c r="L93" s="7">
        <f t="shared" si="70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1"/>
        <v>8.5000000000000006E-3</v>
      </c>
      <c r="D94" s="3">
        <f t="shared" si="73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7"/>
        <v>19.226547039969535</v>
      </c>
      <c r="J94" s="14">
        <f t="shared" si="68"/>
        <v>2.0985651783656625</v>
      </c>
      <c r="K94" s="7">
        <f t="shared" si="69"/>
        <v>0.43256763498976725</v>
      </c>
      <c r="L94" s="7">
        <f t="shared" si="70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1"/>
        <v>8.5000000000000006E-3</v>
      </c>
      <c r="D95" s="3">
        <f t="shared" si="73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7"/>
        <v>19.226547039969535</v>
      </c>
      <c r="J95" s="14">
        <f t="shared" si="68"/>
        <v>1.5949095355579033</v>
      </c>
      <c r="K95" s="7">
        <f t="shared" si="69"/>
        <v>0.47768205090894539</v>
      </c>
      <c r="L95" s="7">
        <f t="shared" si="70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1"/>
        <v>8.5000000000000006E-3</v>
      </c>
      <c r="D96" s="3">
        <f t="shared" si="73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7"/>
        <v>19.226547039969535</v>
      </c>
      <c r="J96" s="14">
        <f t="shared" si="68"/>
        <v>1.0492825891828312</v>
      </c>
      <c r="K96" s="7">
        <f t="shared" si="69"/>
        <v>0.50952752096954168</v>
      </c>
      <c r="L96" s="7">
        <f t="shared" si="70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1"/>
        <v>8.0000000000000002E-3</v>
      </c>
      <c r="D97" s="3">
        <f t="shared" si="73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7"/>
        <v>18.095573684677209</v>
      </c>
      <c r="J97" s="14">
        <f t="shared" si="68"/>
        <v>3.3640983511628928</v>
      </c>
      <c r="K97" s="7">
        <f t="shared" si="69"/>
        <v>0.19922596561183958</v>
      </c>
      <c r="L97" s="7">
        <f t="shared" si="70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1"/>
        <v>8.0000000000000002E-3</v>
      </c>
      <c r="D98" s="3">
        <f t="shared" si="73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7"/>
        <v>18.095573684677209</v>
      </c>
      <c r="J98" s="14">
        <f t="shared" si="68"/>
        <v>2.7955183481494461</v>
      </c>
      <c r="K98" s="7">
        <f t="shared" si="69"/>
        <v>0.32954671003462188</v>
      </c>
      <c r="L98" s="7">
        <f t="shared" si="70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1"/>
        <v>8.0000000000000002E-3</v>
      </c>
      <c r="D99" s="3">
        <f t="shared" si="73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7"/>
        <v>18.095573684677209</v>
      </c>
      <c r="J99" s="14">
        <f t="shared" si="68"/>
        <v>2.2269383451359994</v>
      </c>
      <c r="K99" s="7">
        <f t="shared" si="69"/>
        <v>0.41642720631647673</v>
      </c>
      <c r="L99" s="7">
        <f t="shared" si="70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1"/>
        <v>8.0000000000000002E-3</v>
      </c>
      <c r="D100" s="3">
        <f t="shared" si="73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7"/>
        <v>18.095573684677209</v>
      </c>
      <c r="J100" s="14">
        <f t="shared" si="68"/>
        <v>1.6583583421225527</v>
      </c>
      <c r="K100" s="7">
        <f t="shared" si="69"/>
        <v>0.47334891077700236</v>
      </c>
      <c r="L100" s="7">
        <f t="shared" si="70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1"/>
        <v>8.0000000000000002E-3</v>
      </c>
      <c r="D101" s="3">
        <f t="shared" si="73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7"/>
        <v>18.095573684677209</v>
      </c>
      <c r="J101" s="14">
        <f t="shared" si="68"/>
        <v>1.1371600060268932</v>
      </c>
      <c r="K101" s="7">
        <f t="shared" si="69"/>
        <v>0.50330770259833157</v>
      </c>
      <c r="L101" s="7">
        <f t="shared" si="70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1"/>
        <v>6.9166666666666682E-3</v>
      </c>
      <c r="D102" s="3">
        <f t="shared" si="73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7"/>
        <v>15.64513141487717</v>
      </c>
      <c r="J102" s="14">
        <f t="shared" si="68"/>
        <v>3.7398021623668587</v>
      </c>
      <c r="K102" s="7">
        <f t="shared" si="69"/>
        <v>0.10300153568634084</v>
      </c>
      <c r="L102" s="7">
        <f t="shared" si="70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1"/>
        <v>6.9166666666666682E-3</v>
      </c>
      <c r="D103" s="3">
        <f t="shared" si="73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7"/>
        <v>15.64513141487717</v>
      </c>
      <c r="J103" s="14">
        <f t="shared" si="68"/>
        <v>3.1059373890843402</v>
      </c>
      <c r="K103" s="7">
        <f t="shared" si="69"/>
        <v>0.23846659040222878</v>
      </c>
      <c r="L103" s="7">
        <f t="shared" si="70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1"/>
        <v>6.9166666666666682E-3</v>
      </c>
      <c r="D104" s="3">
        <f t="shared" si="73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7"/>
        <v>15.64513141487717</v>
      </c>
      <c r="J104" s="14">
        <f t="shared" si="68"/>
        <v>2.4720726158018218</v>
      </c>
      <c r="K104" s="7">
        <f t="shared" si="69"/>
        <v>0.33705950004752</v>
      </c>
      <c r="L104" s="7">
        <f t="shared" si="70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1"/>
        <v>6.9166666666666682E-3</v>
      </c>
      <c r="D105" s="3">
        <f t="shared" si="73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7"/>
        <v>15.64513141487717</v>
      </c>
      <c r="J105" s="14">
        <f t="shared" si="68"/>
        <v>1.8382078425193034</v>
      </c>
      <c r="K105" s="7">
        <f t="shared" si="69"/>
        <v>0.39717712788001464</v>
      </c>
      <c r="L105" s="7">
        <f t="shared" si="70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1"/>
        <v>6.9166666666666682E-3</v>
      </c>
      <c r="D106" s="3">
        <f t="shared" si="73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7"/>
        <v>15.64513141487717</v>
      </c>
      <c r="J106" s="14">
        <f t="shared" si="68"/>
        <v>1.2677295465650369</v>
      </c>
      <c r="K106" s="7">
        <f t="shared" si="69"/>
        <v>0.42082339482746262</v>
      </c>
      <c r="L106" s="7">
        <f t="shared" si="70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H67"/>
  <sheetViews>
    <sheetView tabSelected="1" topLeftCell="A6" zoomScale="190" zoomScaleNormal="190" workbookViewId="0">
      <selection activeCell="F30" sqref="F30"/>
    </sheetView>
  </sheetViews>
  <sheetFormatPr defaultRowHeight="12.75" x14ac:dyDescent="0.2"/>
  <cols>
    <col min="1" max="1" width="50.140625" style="42" bestFit="1" customWidth="1"/>
    <col min="2" max="2" width="12.42578125" style="42" bestFit="1" customWidth="1"/>
    <col min="3" max="5" width="9.140625" style="42"/>
    <col min="6" max="6" width="12.7109375" style="42" bestFit="1" customWidth="1"/>
    <col min="7" max="16384" width="9.140625" style="42"/>
  </cols>
  <sheetData>
    <row r="1" spans="1:8" ht="15" x14ac:dyDescent="0.2">
      <c r="A1" s="40" t="s">
        <v>106</v>
      </c>
      <c r="B1" s="41">
        <v>400</v>
      </c>
    </row>
    <row r="2" spans="1:8" ht="15" x14ac:dyDescent="0.2">
      <c r="A2" s="40" t="s">
        <v>107</v>
      </c>
      <c r="B2" s="41">
        <v>0.34300000000000003</v>
      </c>
    </row>
    <row r="3" spans="1:8" ht="15" x14ac:dyDescent="0.2">
      <c r="A3" s="40" t="s">
        <v>108</v>
      </c>
      <c r="B3" s="41">
        <v>5</v>
      </c>
    </row>
    <row r="4" spans="1:8" ht="15" x14ac:dyDescent="0.2">
      <c r="A4" s="40" t="s">
        <v>109</v>
      </c>
      <c r="B4" s="41">
        <v>0.375</v>
      </c>
    </row>
    <row r="5" spans="1:8" ht="15" x14ac:dyDescent="0.2">
      <c r="A5" s="40" t="s">
        <v>110</v>
      </c>
      <c r="B5" s="41">
        <v>75</v>
      </c>
    </row>
    <row r="6" spans="1:8" ht="15" x14ac:dyDescent="0.2">
      <c r="A6" s="40" t="s">
        <v>129</v>
      </c>
      <c r="B6" s="41">
        <v>2</v>
      </c>
    </row>
    <row r="7" spans="1:8" ht="15" x14ac:dyDescent="0.2">
      <c r="A7" s="40" t="s">
        <v>130</v>
      </c>
      <c r="B7" s="41">
        <v>0.371</v>
      </c>
      <c r="C7" s="43" t="s">
        <v>132</v>
      </c>
    </row>
    <row r="8" spans="1:8" ht="15" x14ac:dyDescent="0.2">
      <c r="A8" s="40" t="s">
        <v>131</v>
      </c>
      <c r="B8" s="41">
        <v>0.155</v>
      </c>
      <c r="C8" s="43" t="s">
        <v>132</v>
      </c>
    </row>
    <row r="9" spans="1:8" ht="15" x14ac:dyDescent="0.2">
      <c r="A9" s="40" t="s">
        <v>133</v>
      </c>
      <c r="B9" s="41">
        <f>PI()/4*(B7^2-B8^2)*(25.4)^2</f>
        <v>57.570076945141288</v>
      </c>
      <c r="C9" s="43" t="s">
        <v>134</v>
      </c>
    </row>
    <row r="11" spans="1:8" x14ac:dyDescent="0.2">
      <c r="A11" s="43" t="s">
        <v>115</v>
      </c>
      <c r="B11" s="43" t="s">
        <v>111</v>
      </c>
      <c r="C11" s="47" t="s">
        <v>119</v>
      </c>
      <c r="D11" s="47"/>
      <c r="E11" s="47"/>
      <c r="F11" s="47"/>
      <c r="G11" s="47"/>
      <c r="H11" s="47"/>
    </row>
    <row r="12" spans="1:8" ht="15" x14ac:dyDescent="0.2">
      <c r="A12" s="43"/>
      <c r="C12" s="46">
        <v>0</v>
      </c>
      <c r="D12" s="45">
        <v>25</v>
      </c>
      <c r="E12" s="42">
        <v>50</v>
      </c>
      <c r="F12" s="45">
        <v>75</v>
      </c>
      <c r="G12" s="45">
        <v>100</v>
      </c>
      <c r="H12" s="45">
        <v>125</v>
      </c>
    </row>
    <row r="13" spans="1:8" x14ac:dyDescent="0.2">
      <c r="C13" s="42">
        <f>C12*0.112984829</f>
        <v>0</v>
      </c>
      <c r="D13" s="42">
        <f t="shared" ref="D13:H13" si="0">D12*0.112984829</f>
        <v>2.8246207249999999</v>
      </c>
      <c r="E13" s="42">
        <f t="shared" si="0"/>
        <v>5.6492414499999999</v>
      </c>
      <c r="F13" s="42">
        <f t="shared" si="0"/>
        <v>8.4738621749999989</v>
      </c>
      <c r="G13" s="42">
        <f t="shared" si="0"/>
        <v>11.2984829</v>
      </c>
      <c r="H13" s="42">
        <f t="shared" si="0"/>
        <v>14.123103624999999</v>
      </c>
    </row>
    <row r="14" spans="1:8" x14ac:dyDescent="0.2">
      <c r="A14" s="43" t="s">
        <v>116</v>
      </c>
      <c r="B14" s="42">
        <v>0</v>
      </c>
      <c r="C14" s="42">
        <v>-2E-3</v>
      </c>
      <c r="D14" s="42">
        <v>0.14000000000000001</v>
      </c>
      <c r="E14" s="42">
        <v>0.29399999999999998</v>
      </c>
      <c r="F14" s="45">
        <v>0.44700000000000001</v>
      </c>
      <c r="G14" s="45">
        <v>0.60199999999999998</v>
      </c>
      <c r="H14" s="45">
        <v>0.77800000000000002</v>
      </c>
    </row>
    <row r="15" spans="1:8" x14ac:dyDescent="0.2">
      <c r="A15" s="43" t="s">
        <v>117</v>
      </c>
      <c r="B15" s="42">
        <v>0</v>
      </c>
      <c r="C15" s="42">
        <v>-1E-3</v>
      </c>
      <c r="D15" s="42">
        <v>-0.311</v>
      </c>
      <c r="E15" s="42">
        <v>-0.61499999999999999</v>
      </c>
      <c r="F15" s="45">
        <v>-0.90700000000000003</v>
      </c>
      <c r="G15" s="45">
        <v>-1.2030000000000001</v>
      </c>
      <c r="H15" s="45">
        <v>-1.5189999999999999</v>
      </c>
    </row>
    <row r="18" spans="1:8" x14ac:dyDescent="0.2">
      <c r="A18" s="43" t="s">
        <v>118</v>
      </c>
      <c r="B18" s="43"/>
    </row>
    <row r="19" spans="1:8" ht="15" x14ac:dyDescent="0.2">
      <c r="A19" s="43"/>
      <c r="B19" s="46" t="s">
        <v>42</v>
      </c>
      <c r="C19" s="46" t="s">
        <v>43</v>
      </c>
      <c r="D19" s="46" t="s">
        <v>44</v>
      </c>
      <c r="E19" s="46" t="s">
        <v>120</v>
      </c>
      <c r="F19" s="46" t="s">
        <v>121</v>
      </c>
      <c r="G19" s="46"/>
    </row>
    <row r="20" spans="1:8" x14ac:dyDescent="0.2">
      <c r="A20" s="43" t="s">
        <v>116</v>
      </c>
      <c r="B20" s="42">
        <v>0.372</v>
      </c>
      <c r="C20" s="42">
        <v>0.32100000000000001</v>
      </c>
      <c r="D20" s="42">
        <v>0.35399999999999998</v>
      </c>
      <c r="E20" s="42">
        <v>0.312</v>
      </c>
      <c r="F20" s="42">
        <v>0.32700000000000001</v>
      </c>
    </row>
    <row r="21" spans="1:8" x14ac:dyDescent="0.2">
      <c r="A21" s="43" t="s">
        <v>117</v>
      </c>
      <c r="B21" s="42">
        <v>-0.70099999999999996</v>
      </c>
      <c r="C21" s="42">
        <v>-0.68400000000000005</v>
      </c>
      <c r="D21" s="42">
        <v>-0.71799999999999997</v>
      </c>
      <c r="E21" s="45">
        <v>-0.65400000000000003</v>
      </c>
      <c r="F21" s="45">
        <v>-0.67900000000000005</v>
      </c>
      <c r="G21" s="45"/>
    </row>
    <row r="22" spans="1:8" x14ac:dyDescent="0.2">
      <c r="E22" s="45"/>
      <c r="F22" s="45"/>
      <c r="G22" s="45"/>
    </row>
    <row r="23" spans="1:8" ht="15" x14ac:dyDescent="0.2">
      <c r="A23" s="44" t="s">
        <v>114</v>
      </c>
    </row>
    <row r="24" spans="1:8" ht="15" x14ac:dyDescent="0.2">
      <c r="A24" s="44" t="s">
        <v>111</v>
      </c>
      <c r="B24" s="43" t="s">
        <v>112</v>
      </c>
      <c r="C24" s="43" t="s">
        <v>113</v>
      </c>
      <c r="D24" s="43" t="s">
        <v>128</v>
      </c>
      <c r="F24" s="50" t="s">
        <v>135</v>
      </c>
      <c r="G24" s="42" cm="1">
        <f t="array" ref="G24:H24">LINEST(D25:D33,A25:A33)</f>
        <v>8.4876482213438754E-5</v>
      </c>
      <c r="H24" s="42">
        <v>-9.0167984189733338E-7</v>
      </c>
    </row>
    <row r="25" spans="1:8" ht="15" x14ac:dyDescent="0.2">
      <c r="A25" s="42">
        <v>0</v>
      </c>
      <c r="B25" s="46">
        <v>6.0000000000000001E-3</v>
      </c>
      <c r="C25" s="42">
        <v>-3.0000000000000001E-3</v>
      </c>
      <c r="D25" s="49">
        <f>4*B25/($B$6*$B$3*$B$1)</f>
        <v>6.0000000000000002E-6</v>
      </c>
    </row>
    <row r="26" spans="1:8" ht="15" x14ac:dyDescent="0.2">
      <c r="A26" s="42">
        <v>1</v>
      </c>
      <c r="B26" s="46">
        <v>8.5000000000000006E-2</v>
      </c>
      <c r="C26" s="42">
        <v>-0.21199999999999999</v>
      </c>
      <c r="D26" s="49">
        <f t="shared" ref="D26:D33" si="1">4*B26/($B$6*$B$3*$B$1)</f>
        <v>8.5000000000000006E-5</v>
      </c>
      <c r="F26" s="43" t="s">
        <v>136</v>
      </c>
      <c r="G26" s="42">
        <f>1/(G24*B9)</f>
        <v>204.6519176974933</v>
      </c>
    </row>
    <row r="27" spans="1:8" ht="15" x14ac:dyDescent="0.2">
      <c r="A27" s="42">
        <v>2</v>
      </c>
      <c r="B27" s="46">
        <v>0.16800000000000001</v>
      </c>
      <c r="C27" s="42">
        <v>-0.441</v>
      </c>
      <c r="D27" s="49">
        <f t="shared" si="1"/>
        <v>1.6800000000000002E-4</v>
      </c>
    </row>
    <row r="28" spans="1:8" ht="15" x14ac:dyDescent="0.2">
      <c r="A28" s="45">
        <v>3</v>
      </c>
      <c r="B28" s="46">
        <v>0.253</v>
      </c>
      <c r="C28" s="45">
        <v>-0.66700000000000004</v>
      </c>
      <c r="D28" s="49">
        <f t="shared" si="1"/>
        <v>2.5300000000000002E-4</v>
      </c>
    </row>
    <row r="29" spans="1:8" ht="15" x14ac:dyDescent="0.2">
      <c r="A29" s="45">
        <v>4</v>
      </c>
      <c r="B29" s="46">
        <v>0.33500000000000002</v>
      </c>
      <c r="C29" s="45">
        <v>-0.88800000000000001</v>
      </c>
      <c r="D29" s="49">
        <f t="shared" si="1"/>
        <v>3.3500000000000001E-4</v>
      </c>
    </row>
    <row r="30" spans="1:8" ht="15" x14ac:dyDescent="0.2">
      <c r="A30" s="45">
        <v>5</v>
      </c>
      <c r="B30" s="46">
        <v>0.41699999999999998</v>
      </c>
      <c r="C30" s="45">
        <v>-1.08</v>
      </c>
      <c r="D30" s="49">
        <f t="shared" si="1"/>
        <v>4.17E-4</v>
      </c>
    </row>
    <row r="31" spans="1:8" ht="15" x14ac:dyDescent="0.2">
      <c r="A31" s="45">
        <v>6</v>
      </c>
      <c r="B31" s="46">
        <v>0.498</v>
      </c>
      <c r="C31" s="45">
        <v>-1.27</v>
      </c>
      <c r="D31" s="49">
        <f t="shared" si="1"/>
        <v>4.9799999999999996E-4</v>
      </c>
    </row>
    <row r="32" spans="1:8" ht="15" x14ac:dyDescent="0.2">
      <c r="A32" s="45">
        <v>7</v>
      </c>
      <c r="B32" s="46">
        <v>0.58099999999999996</v>
      </c>
      <c r="C32" s="45">
        <v>-1.46</v>
      </c>
      <c r="D32" s="49">
        <f t="shared" si="1"/>
        <v>5.8099999999999992E-4</v>
      </c>
    </row>
    <row r="33" spans="1:4" ht="15" x14ac:dyDescent="0.2">
      <c r="A33" s="45">
        <v>7.5</v>
      </c>
      <c r="B33" s="46">
        <v>0.66200000000000003</v>
      </c>
      <c r="C33" s="45">
        <v>-1.5469999999999999</v>
      </c>
      <c r="D33" s="49">
        <f t="shared" si="1"/>
        <v>6.6200000000000005E-4</v>
      </c>
    </row>
    <row r="35" spans="1:4" x14ac:dyDescent="0.2">
      <c r="A35" s="43" t="s">
        <v>122</v>
      </c>
    </row>
    <row r="36" spans="1:4" x14ac:dyDescent="0.2">
      <c r="A36" s="43" t="s">
        <v>123</v>
      </c>
      <c r="B36" s="43" t="s">
        <v>124</v>
      </c>
    </row>
    <row r="37" spans="1:4" x14ac:dyDescent="0.2">
      <c r="A37" s="48" t="s">
        <v>125</v>
      </c>
    </row>
    <row r="38" spans="1:4" ht="15" x14ac:dyDescent="0.2">
      <c r="A38" s="44" t="s">
        <v>111</v>
      </c>
      <c r="B38" s="43" t="s">
        <v>112</v>
      </c>
      <c r="C38" s="43" t="s">
        <v>113</v>
      </c>
    </row>
    <row r="39" spans="1:4" ht="15" x14ac:dyDescent="0.2">
      <c r="A39" s="43" t="s">
        <v>126</v>
      </c>
      <c r="B39" s="46">
        <v>0.38600000000000001</v>
      </c>
      <c r="C39" s="42">
        <v>-0.73099999999999998</v>
      </c>
    </row>
    <row r="40" spans="1:4" ht="15" x14ac:dyDescent="0.2">
      <c r="A40" s="43" t="s">
        <v>126</v>
      </c>
      <c r="B40" s="46">
        <v>0.38200000000000001</v>
      </c>
      <c r="C40" s="42">
        <v>-0.72</v>
      </c>
    </row>
    <row r="41" spans="1:4" ht="15" x14ac:dyDescent="0.2">
      <c r="A41" s="43" t="s">
        <v>126</v>
      </c>
      <c r="B41" s="46">
        <v>0.38100000000000001</v>
      </c>
      <c r="C41" s="42">
        <v>-0.71499999999999997</v>
      </c>
    </row>
    <row r="42" spans="1:4" ht="15" x14ac:dyDescent="0.2">
      <c r="A42" s="45">
        <v>0</v>
      </c>
      <c r="B42" s="46">
        <v>0.38200000000000001</v>
      </c>
      <c r="C42" s="45">
        <v>0.72</v>
      </c>
    </row>
    <row r="43" spans="1:4" ht="15" x14ac:dyDescent="0.2">
      <c r="A43" s="45">
        <v>1</v>
      </c>
      <c r="B43" s="46">
        <v>0.39100000000000001</v>
      </c>
      <c r="C43" s="45">
        <v>-0.751</v>
      </c>
    </row>
    <row r="44" spans="1:4" ht="15" x14ac:dyDescent="0.2">
      <c r="A44" s="45">
        <v>2</v>
      </c>
      <c r="B44" s="46">
        <v>0.4</v>
      </c>
      <c r="C44" s="45">
        <v>-0.78300000000000003</v>
      </c>
    </row>
    <row r="45" spans="1:4" ht="15" x14ac:dyDescent="0.2">
      <c r="A45" s="45">
        <v>3</v>
      </c>
      <c r="B45" s="46">
        <v>0.41099999999999998</v>
      </c>
      <c r="C45" s="45">
        <v>-0.81799999999999995</v>
      </c>
    </row>
    <row r="46" spans="1:4" ht="15" x14ac:dyDescent="0.2">
      <c r="A46" s="45">
        <v>4</v>
      </c>
      <c r="B46" s="46">
        <v>0.42099999999999999</v>
      </c>
      <c r="C46" s="45">
        <v>-0.85499999999999998</v>
      </c>
    </row>
    <row r="47" spans="1:4" ht="15" x14ac:dyDescent="0.2">
      <c r="A47" s="45">
        <v>5</v>
      </c>
      <c r="B47" s="46">
        <v>0.436</v>
      </c>
      <c r="C47" s="45">
        <v>-0.90100000000000002</v>
      </c>
    </row>
    <row r="48" spans="1:4" ht="15" x14ac:dyDescent="0.2">
      <c r="A48" s="45">
        <v>6</v>
      </c>
      <c r="B48" s="46">
        <v>0.498</v>
      </c>
      <c r="C48" s="45">
        <v>-1.0680000000000001</v>
      </c>
    </row>
    <row r="49" spans="1:3" ht="15" x14ac:dyDescent="0.2">
      <c r="A49" s="45">
        <v>7</v>
      </c>
      <c r="B49" s="46">
        <v>0.57799999999999996</v>
      </c>
      <c r="C49" s="45">
        <v>-1.226</v>
      </c>
    </row>
    <row r="50" spans="1:3" ht="15" x14ac:dyDescent="0.2">
      <c r="A50" s="45">
        <v>7.5</v>
      </c>
      <c r="B50" s="46">
        <v>0.61899999999999999</v>
      </c>
      <c r="C50" s="45">
        <v>-1.3</v>
      </c>
    </row>
    <row r="52" spans="1:3" x14ac:dyDescent="0.2">
      <c r="A52" s="43" t="s">
        <v>127</v>
      </c>
    </row>
    <row r="53" spans="1:3" x14ac:dyDescent="0.2">
      <c r="A53" s="43" t="s">
        <v>123</v>
      </c>
      <c r="B53" s="43" t="s">
        <v>124</v>
      </c>
    </row>
    <row r="54" spans="1:3" x14ac:dyDescent="0.2">
      <c r="A54" s="48" t="s">
        <v>125</v>
      </c>
    </row>
    <row r="55" spans="1:3" ht="15" x14ac:dyDescent="0.2">
      <c r="A55" s="44" t="s">
        <v>111</v>
      </c>
      <c r="B55" s="43" t="s">
        <v>112</v>
      </c>
      <c r="C55" s="43" t="s">
        <v>113</v>
      </c>
    </row>
    <row r="56" spans="1:3" ht="15" x14ac:dyDescent="0.2">
      <c r="A56" s="43" t="s">
        <v>126</v>
      </c>
      <c r="B56" s="46">
        <v>0.32700000000000001</v>
      </c>
      <c r="C56" s="42">
        <v>-0.54</v>
      </c>
    </row>
    <row r="57" spans="1:3" ht="15" x14ac:dyDescent="0.2">
      <c r="A57" s="43" t="s">
        <v>126</v>
      </c>
      <c r="B57" s="46">
        <v>0.32300000000000001</v>
      </c>
      <c r="C57" s="42">
        <v>-0.53400000000000003</v>
      </c>
    </row>
    <row r="58" spans="1:3" ht="15" x14ac:dyDescent="0.2">
      <c r="A58" s="43" t="s">
        <v>126</v>
      </c>
      <c r="B58" s="46">
        <v>0.32100000000000001</v>
      </c>
      <c r="C58" s="42">
        <v>-0.53</v>
      </c>
    </row>
    <row r="59" spans="1:3" ht="15" x14ac:dyDescent="0.2">
      <c r="A59" s="45">
        <v>0</v>
      </c>
      <c r="B59" s="46">
        <v>0.315</v>
      </c>
      <c r="C59" s="45">
        <v>-0.52800000000000002</v>
      </c>
    </row>
    <row r="60" spans="1:3" ht="15" x14ac:dyDescent="0.2">
      <c r="A60" s="45">
        <v>1</v>
      </c>
      <c r="B60" s="46">
        <v>0.34399999999999997</v>
      </c>
      <c r="C60" s="45">
        <v>-0.59299999999999997</v>
      </c>
    </row>
    <row r="61" spans="1:3" ht="15" x14ac:dyDescent="0.2">
      <c r="A61" s="45">
        <v>2</v>
      </c>
      <c r="B61" s="46">
        <v>0.35799999999999998</v>
      </c>
      <c r="C61" s="45">
        <v>-0.67400000000000004</v>
      </c>
    </row>
    <row r="62" spans="1:3" ht="15" x14ac:dyDescent="0.2">
      <c r="A62" s="45">
        <v>3</v>
      </c>
      <c r="B62" s="46">
        <v>0.38900000000000001</v>
      </c>
      <c r="C62" s="45">
        <v>-0.76600000000000001</v>
      </c>
    </row>
    <row r="63" spans="1:3" ht="15" x14ac:dyDescent="0.2">
      <c r="A63" s="45">
        <v>4</v>
      </c>
      <c r="B63" s="46">
        <v>0.42599999999999999</v>
      </c>
      <c r="C63" s="45">
        <v>-0.85599999999999998</v>
      </c>
    </row>
    <row r="64" spans="1:3" ht="15" x14ac:dyDescent="0.2">
      <c r="A64" s="45">
        <v>5</v>
      </c>
      <c r="B64" s="46">
        <v>0.46899999999999997</v>
      </c>
      <c r="C64" s="45">
        <v>-0.94099999999999995</v>
      </c>
    </row>
    <row r="65" spans="1:3" ht="15" x14ac:dyDescent="0.2">
      <c r="A65" s="45">
        <v>6</v>
      </c>
      <c r="B65" s="46">
        <v>0.52400000000000002</v>
      </c>
      <c r="C65" s="45">
        <v>-1.036</v>
      </c>
    </row>
    <row r="66" spans="1:3" ht="15" x14ac:dyDescent="0.2">
      <c r="A66" s="45">
        <v>7</v>
      </c>
      <c r="B66" s="46">
        <v>0.58899999999999997</v>
      </c>
      <c r="C66" s="45">
        <v>-1.1479999999999999</v>
      </c>
    </row>
    <row r="67" spans="1:3" ht="15" x14ac:dyDescent="0.2">
      <c r="A67" s="45">
        <v>7.5</v>
      </c>
      <c r="B67" s="46">
        <v>0.627</v>
      </c>
      <c r="C67" s="45">
        <v>-1.212</v>
      </c>
    </row>
  </sheetData>
  <mergeCells count="1">
    <mergeCell ref="C11:H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alex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2024-02-26T11:26:33Z</dcterms:modified>
</cp:coreProperties>
</file>