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lex\Documents\LaTeX\MEC-E-403\Lab 1 - Pumps\"/>
    </mc:Choice>
  </mc:AlternateContent>
  <xr:revisionPtr revIDLastSave="0" documentId="13_ncr:1_{1F23CAD1-CBFB-4646-9A70-983795235ECC}" xr6:coauthVersionLast="47" xr6:coauthVersionMax="47" xr10:uidLastSave="{00000000-0000-0000-0000-000000000000}"/>
  <bookViews>
    <workbookView xWindow="0" yWindow="0" windowWidth="38400" windowHeight="21000" firstSheet="1" activeTab="1" xr2:uid="{00000000-000D-0000-FFFF-FFFF00000000}"/>
  </bookViews>
  <sheets>
    <sheet name="seans analysis" sheetId="6" state="hidden" r:id="rId1"/>
    <sheet name="alex analysis" sheetId="5" r:id="rId2"/>
  </sheets>
  <definedNames>
    <definedName name="_xlnm._FilterDatabase" localSheetId="1" hidden="1">'alex analysis'!$B$14:$L$14</definedName>
    <definedName name="_xlnm._FilterDatabase" localSheetId="0" hidden="1">'seans analysis'!$B$14:$L$14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" i="5" l="1"/>
  <c r="I90" i="5"/>
  <c r="L90" i="5" s="1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I67" i="5"/>
  <c r="C88" i="5"/>
  <c r="D88" i="5"/>
  <c r="C89" i="5"/>
  <c r="D89" i="5"/>
  <c r="C90" i="5"/>
  <c r="D90" i="5"/>
  <c r="C91" i="5"/>
  <c r="D91" i="5"/>
  <c r="D87" i="5"/>
  <c r="C87" i="5"/>
  <c r="C82" i="5"/>
  <c r="D82" i="5"/>
  <c r="C83" i="5"/>
  <c r="D83" i="5"/>
  <c r="C84" i="5"/>
  <c r="D84" i="5"/>
  <c r="C85" i="5"/>
  <c r="D85" i="5"/>
  <c r="C86" i="5"/>
  <c r="D86" i="5"/>
  <c r="C77" i="5"/>
  <c r="D77" i="5"/>
  <c r="C78" i="5"/>
  <c r="D78" i="5"/>
  <c r="C79" i="5"/>
  <c r="D79" i="5"/>
  <c r="C80" i="5"/>
  <c r="D80" i="5"/>
  <c r="C81" i="5"/>
  <c r="D81" i="5"/>
  <c r="D72" i="5"/>
  <c r="D73" i="5"/>
  <c r="C74" i="5"/>
  <c r="D74" i="5"/>
  <c r="C75" i="5"/>
  <c r="D75" i="5"/>
  <c r="D76" i="5"/>
  <c r="D68" i="5"/>
  <c r="C69" i="5"/>
  <c r="D69" i="5"/>
  <c r="C70" i="5"/>
  <c r="D70" i="5"/>
  <c r="D71" i="5"/>
  <c r="D67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F63" i="5"/>
  <c r="C63" i="5"/>
  <c r="C59" i="5"/>
  <c r="F59" i="5"/>
  <c r="C56" i="6"/>
  <c r="C57" i="6" s="1"/>
  <c r="AE35" i="6"/>
  <c r="AD35" i="6"/>
  <c r="U35" i="6"/>
  <c r="T35" i="6"/>
  <c r="P35" i="6"/>
  <c r="M35" i="6"/>
  <c r="L35" i="6"/>
  <c r="AF35" i="6" s="1"/>
  <c r="J35" i="6"/>
  <c r="AE34" i="6"/>
  <c r="AD34" i="6"/>
  <c r="U34" i="6"/>
  <c r="T34" i="6"/>
  <c r="P34" i="6"/>
  <c r="M34" i="6"/>
  <c r="L34" i="6"/>
  <c r="J34" i="6"/>
  <c r="K34" i="6" s="1"/>
  <c r="AE33" i="6"/>
  <c r="AD33" i="6"/>
  <c r="U33" i="6"/>
  <c r="T33" i="6"/>
  <c r="P33" i="6"/>
  <c r="M33" i="6"/>
  <c r="AG33" i="6" s="1"/>
  <c r="L33" i="6"/>
  <c r="J33" i="6"/>
  <c r="K33" i="6" s="1"/>
  <c r="AE32" i="6"/>
  <c r="AD32" i="6"/>
  <c r="U32" i="6"/>
  <c r="T32" i="6"/>
  <c r="P32" i="6"/>
  <c r="M32" i="6"/>
  <c r="L32" i="6"/>
  <c r="J32" i="6"/>
  <c r="K32" i="6" s="1"/>
  <c r="AE31" i="6"/>
  <c r="AD31" i="6"/>
  <c r="U31" i="6"/>
  <c r="T31" i="6"/>
  <c r="P31" i="6"/>
  <c r="M31" i="6"/>
  <c r="N31" i="6" s="1"/>
  <c r="L31" i="6"/>
  <c r="J31" i="6"/>
  <c r="AE30" i="6"/>
  <c r="AD30" i="6"/>
  <c r="U30" i="6"/>
  <c r="T30" i="6"/>
  <c r="P30" i="6"/>
  <c r="M30" i="6"/>
  <c r="L30" i="6"/>
  <c r="J30" i="6"/>
  <c r="K30" i="6" s="1"/>
  <c r="AE29" i="6"/>
  <c r="AD29" i="6"/>
  <c r="U29" i="6"/>
  <c r="T29" i="6"/>
  <c r="P29" i="6"/>
  <c r="M29" i="6"/>
  <c r="N29" i="6" s="1"/>
  <c r="L29" i="6"/>
  <c r="J29" i="6"/>
  <c r="K29" i="6" s="1"/>
  <c r="AE28" i="6"/>
  <c r="AD28" i="6"/>
  <c r="AF28" i="6" s="1"/>
  <c r="U28" i="6"/>
  <c r="T28" i="6"/>
  <c r="P28" i="6"/>
  <c r="M28" i="6"/>
  <c r="N28" i="6" s="1"/>
  <c r="L28" i="6"/>
  <c r="J28" i="6"/>
  <c r="K28" i="6" s="1"/>
  <c r="AE49" i="6"/>
  <c r="AD49" i="6"/>
  <c r="U49" i="6"/>
  <c r="T49" i="6"/>
  <c r="R49" i="6"/>
  <c r="P49" i="6"/>
  <c r="M49" i="6"/>
  <c r="N49" i="6" s="1"/>
  <c r="L49" i="6"/>
  <c r="J49" i="6"/>
  <c r="AE48" i="6"/>
  <c r="AD48" i="6"/>
  <c r="U48" i="6"/>
  <c r="T48" i="6"/>
  <c r="P48" i="6"/>
  <c r="R48" i="6" s="1"/>
  <c r="M48" i="6"/>
  <c r="L48" i="6"/>
  <c r="N48" i="6" s="1"/>
  <c r="J48" i="6"/>
  <c r="AE47" i="6"/>
  <c r="AD47" i="6"/>
  <c r="U47" i="6"/>
  <c r="T47" i="6"/>
  <c r="P47" i="6"/>
  <c r="R47" i="6" s="1"/>
  <c r="M47" i="6"/>
  <c r="L47" i="6"/>
  <c r="J47" i="6"/>
  <c r="AE46" i="6"/>
  <c r="AG46" i="6" s="1"/>
  <c r="AD46" i="6"/>
  <c r="U46" i="6"/>
  <c r="T46" i="6"/>
  <c r="V46" i="6" s="1"/>
  <c r="X46" i="6" s="1"/>
  <c r="Y46" i="6" s="1"/>
  <c r="P46" i="6"/>
  <c r="R46" i="6" s="1"/>
  <c r="M46" i="6"/>
  <c r="L46" i="6"/>
  <c r="N46" i="6" s="1"/>
  <c r="J46" i="6"/>
  <c r="AE45" i="6"/>
  <c r="AD45" i="6"/>
  <c r="U45" i="6"/>
  <c r="T45" i="6"/>
  <c r="P45" i="6"/>
  <c r="R45" i="6" s="1"/>
  <c r="M45" i="6"/>
  <c r="L45" i="6"/>
  <c r="J45" i="6"/>
  <c r="AE44" i="6"/>
  <c r="AD44" i="6"/>
  <c r="U44" i="6"/>
  <c r="T44" i="6"/>
  <c r="R44" i="6"/>
  <c r="P44" i="6"/>
  <c r="M44" i="6"/>
  <c r="L44" i="6"/>
  <c r="AF44" i="6" s="1"/>
  <c r="J44" i="6"/>
  <c r="AE43" i="6"/>
  <c r="AD43" i="6"/>
  <c r="AF43" i="6" s="1"/>
  <c r="U43" i="6"/>
  <c r="T43" i="6"/>
  <c r="P43" i="6"/>
  <c r="R43" i="6" s="1"/>
  <c r="M43" i="6"/>
  <c r="L43" i="6"/>
  <c r="J43" i="6"/>
  <c r="AE42" i="6"/>
  <c r="AD42" i="6"/>
  <c r="U42" i="6"/>
  <c r="T42" i="6"/>
  <c r="P42" i="6"/>
  <c r="R42" i="6" s="1"/>
  <c r="M42" i="6"/>
  <c r="L42" i="6"/>
  <c r="J42" i="6"/>
  <c r="AE41" i="6"/>
  <c r="AD41" i="6"/>
  <c r="U41" i="6"/>
  <c r="T41" i="6"/>
  <c r="P41" i="6"/>
  <c r="R41" i="6" s="1"/>
  <c r="M41" i="6"/>
  <c r="L41" i="6"/>
  <c r="J41" i="6"/>
  <c r="AE40" i="6"/>
  <c r="AD40" i="6"/>
  <c r="U40" i="6"/>
  <c r="V40" i="6" s="1"/>
  <c r="X40" i="6" s="1"/>
  <c r="Y40" i="6" s="1"/>
  <c r="T40" i="6"/>
  <c r="P40" i="6"/>
  <c r="R40" i="6" s="1"/>
  <c r="M40" i="6"/>
  <c r="L40" i="6"/>
  <c r="J40" i="6"/>
  <c r="AE39" i="6"/>
  <c r="AD39" i="6"/>
  <c r="U39" i="6"/>
  <c r="T39" i="6"/>
  <c r="P39" i="6"/>
  <c r="R39" i="6" s="1"/>
  <c r="M39" i="6"/>
  <c r="L39" i="6"/>
  <c r="J39" i="6"/>
  <c r="AE38" i="6"/>
  <c r="AD38" i="6"/>
  <c r="U38" i="6"/>
  <c r="T38" i="6"/>
  <c r="P38" i="6"/>
  <c r="R38" i="6" s="1"/>
  <c r="M38" i="6"/>
  <c r="L38" i="6"/>
  <c r="J38" i="6"/>
  <c r="AE37" i="6"/>
  <c r="AD37" i="6"/>
  <c r="U37" i="6"/>
  <c r="T37" i="6"/>
  <c r="P37" i="6"/>
  <c r="R37" i="6" s="1"/>
  <c r="M37" i="6"/>
  <c r="L37" i="6"/>
  <c r="J37" i="6"/>
  <c r="AE36" i="6"/>
  <c r="AD36" i="6"/>
  <c r="U36" i="6"/>
  <c r="T36" i="6"/>
  <c r="P36" i="6"/>
  <c r="R36" i="6" s="1"/>
  <c r="M36" i="6"/>
  <c r="L36" i="6"/>
  <c r="J36" i="6"/>
  <c r="AE27" i="6"/>
  <c r="AD27" i="6"/>
  <c r="U27" i="6"/>
  <c r="T27" i="6"/>
  <c r="P27" i="6"/>
  <c r="M27" i="6"/>
  <c r="L27" i="6"/>
  <c r="J27" i="6"/>
  <c r="AE26" i="6"/>
  <c r="AD26" i="6"/>
  <c r="U26" i="6"/>
  <c r="T26" i="6"/>
  <c r="P26" i="6"/>
  <c r="M26" i="6"/>
  <c r="L26" i="6"/>
  <c r="J26" i="6"/>
  <c r="K26" i="6" s="1"/>
  <c r="AE25" i="6"/>
  <c r="AD25" i="6"/>
  <c r="U25" i="6"/>
  <c r="T25" i="6"/>
  <c r="P25" i="6"/>
  <c r="M25" i="6"/>
  <c r="L25" i="6"/>
  <c r="J25" i="6"/>
  <c r="K25" i="6" s="1"/>
  <c r="AE24" i="6"/>
  <c r="AD24" i="6"/>
  <c r="U24" i="6"/>
  <c r="T24" i="6"/>
  <c r="P24" i="6"/>
  <c r="M24" i="6"/>
  <c r="L24" i="6"/>
  <c r="J24" i="6"/>
  <c r="K24" i="6" s="1"/>
  <c r="AE23" i="6"/>
  <c r="AD23" i="6"/>
  <c r="U23" i="6"/>
  <c r="T23" i="6"/>
  <c r="P23" i="6"/>
  <c r="M23" i="6"/>
  <c r="L23" i="6"/>
  <c r="J23" i="6"/>
  <c r="AE22" i="6"/>
  <c r="AD22" i="6"/>
  <c r="U22" i="6"/>
  <c r="T22" i="6"/>
  <c r="P22" i="6"/>
  <c r="M22" i="6"/>
  <c r="L22" i="6"/>
  <c r="J22" i="6"/>
  <c r="K22" i="6" s="1"/>
  <c r="AE21" i="6"/>
  <c r="AD21" i="6"/>
  <c r="U21" i="6"/>
  <c r="T21" i="6"/>
  <c r="P21" i="6"/>
  <c r="M21" i="6"/>
  <c r="L21" i="6"/>
  <c r="J21" i="6"/>
  <c r="K21" i="6" s="1"/>
  <c r="AE20" i="6"/>
  <c r="AD20" i="6"/>
  <c r="U20" i="6"/>
  <c r="T20" i="6"/>
  <c r="P20" i="6"/>
  <c r="M20" i="6"/>
  <c r="L20" i="6"/>
  <c r="J20" i="6"/>
  <c r="K20" i="6" s="1"/>
  <c r="AE19" i="6"/>
  <c r="AD19" i="6"/>
  <c r="U19" i="6"/>
  <c r="T19" i="6"/>
  <c r="P19" i="6"/>
  <c r="M19" i="6"/>
  <c r="L19" i="6"/>
  <c r="J19" i="6"/>
  <c r="AE18" i="6"/>
  <c r="AD18" i="6"/>
  <c r="U18" i="6"/>
  <c r="T18" i="6"/>
  <c r="P18" i="6"/>
  <c r="M18" i="6"/>
  <c r="L18" i="6"/>
  <c r="J18" i="6"/>
  <c r="K18" i="6" s="1"/>
  <c r="AE17" i="6"/>
  <c r="AD17" i="6"/>
  <c r="U17" i="6"/>
  <c r="T17" i="6"/>
  <c r="P17" i="6"/>
  <c r="M17" i="6"/>
  <c r="L17" i="6"/>
  <c r="J17" i="6"/>
  <c r="K17" i="6" s="1"/>
  <c r="AE16" i="6"/>
  <c r="AD16" i="6"/>
  <c r="U16" i="6"/>
  <c r="T16" i="6"/>
  <c r="P16" i="6"/>
  <c r="M16" i="6"/>
  <c r="L16" i="6"/>
  <c r="J16" i="6"/>
  <c r="K16" i="6" s="1"/>
  <c r="B8" i="6"/>
  <c r="Q37" i="6" s="1"/>
  <c r="J7" i="6"/>
  <c r="B6" i="6"/>
  <c r="B5" i="6"/>
  <c r="AD46" i="5"/>
  <c r="AE46" i="5"/>
  <c r="AD47" i="5"/>
  <c r="AE47" i="5"/>
  <c r="AD48" i="5"/>
  <c r="AE48" i="5"/>
  <c r="AD49" i="5"/>
  <c r="AF49" i="5" s="1"/>
  <c r="AH49" i="5" s="1"/>
  <c r="AE49" i="5"/>
  <c r="V48" i="5"/>
  <c r="X48" i="5" s="1"/>
  <c r="U46" i="5"/>
  <c r="U47" i="5"/>
  <c r="U48" i="5"/>
  <c r="U49" i="5"/>
  <c r="T45" i="5"/>
  <c r="V45" i="5" s="1"/>
  <c r="X45" i="5" s="1"/>
  <c r="T46" i="5"/>
  <c r="V46" i="5" s="1"/>
  <c r="X46" i="5" s="1"/>
  <c r="T47" i="5"/>
  <c r="V47" i="5" s="1"/>
  <c r="X47" i="5" s="1"/>
  <c r="T48" i="5"/>
  <c r="T49" i="5"/>
  <c r="V49" i="5" s="1"/>
  <c r="X49" i="5" s="1"/>
  <c r="Y49" i="5" s="1"/>
  <c r="AK49" i="5" s="1"/>
  <c r="P46" i="5"/>
  <c r="P47" i="5"/>
  <c r="P48" i="5"/>
  <c r="P49" i="5"/>
  <c r="Q49" i="5"/>
  <c r="S49" i="5"/>
  <c r="M46" i="5"/>
  <c r="N46" i="5" s="1"/>
  <c r="M47" i="5"/>
  <c r="AG47" i="5" s="1"/>
  <c r="M48" i="5"/>
  <c r="AG48" i="5" s="1"/>
  <c r="M49" i="5"/>
  <c r="AG49" i="5" s="1"/>
  <c r="L46" i="5"/>
  <c r="L47" i="5"/>
  <c r="AF47" i="5" s="1"/>
  <c r="L48" i="5"/>
  <c r="AF48" i="5" s="1"/>
  <c r="L49" i="5"/>
  <c r="N49" i="5" s="1"/>
  <c r="K46" i="5"/>
  <c r="Q46" i="5" s="1"/>
  <c r="S46" i="5" s="1"/>
  <c r="K47" i="5"/>
  <c r="K48" i="5"/>
  <c r="J45" i="5"/>
  <c r="J46" i="5"/>
  <c r="J47" i="5"/>
  <c r="J48" i="5"/>
  <c r="J49" i="5"/>
  <c r="AD17" i="5"/>
  <c r="AE17" i="5"/>
  <c r="AD18" i="5"/>
  <c r="AE18" i="5"/>
  <c r="AD19" i="5"/>
  <c r="AE19" i="5"/>
  <c r="AD20" i="5"/>
  <c r="AE20" i="5"/>
  <c r="AD21" i="5"/>
  <c r="AE21" i="5"/>
  <c r="AD22" i="5"/>
  <c r="AE22" i="5"/>
  <c r="AD23" i="5"/>
  <c r="AE23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E16" i="5"/>
  <c r="U42" i="5"/>
  <c r="U43" i="5"/>
  <c r="U44" i="5"/>
  <c r="U45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16" i="5"/>
  <c r="P42" i="5"/>
  <c r="P43" i="5"/>
  <c r="P44" i="5"/>
  <c r="P45" i="5"/>
  <c r="P16" i="5"/>
  <c r="M17" i="5"/>
  <c r="M18" i="5"/>
  <c r="M19" i="5"/>
  <c r="M20" i="5"/>
  <c r="M21" i="5"/>
  <c r="M22" i="5"/>
  <c r="M23" i="5"/>
  <c r="M24" i="5"/>
  <c r="M25" i="5"/>
  <c r="AG25" i="5" s="1"/>
  <c r="M26" i="5"/>
  <c r="M27" i="5"/>
  <c r="M28" i="5"/>
  <c r="M29" i="5"/>
  <c r="M30" i="5"/>
  <c r="M31" i="5"/>
  <c r="M32" i="5"/>
  <c r="M33" i="5"/>
  <c r="AG33" i="5" s="1"/>
  <c r="M34" i="5"/>
  <c r="M35" i="5"/>
  <c r="M36" i="5"/>
  <c r="M37" i="5"/>
  <c r="M38" i="5"/>
  <c r="M39" i="5"/>
  <c r="M40" i="5"/>
  <c r="M41" i="5"/>
  <c r="AG41" i="5" s="1"/>
  <c r="M42" i="5"/>
  <c r="M43" i="5"/>
  <c r="M44" i="5"/>
  <c r="M45" i="5"/>
  <c r="M16" i="5"/>
  <c r="L45" i="5"/>
  <c r="L17" i="5"/>
  <c r="AF17" i="5" s="1"/>
  <c r="L18" i="5"/>
  <c r="L19" i="5"/>
  <c r="L20" i="5"/>
  <c r="L21" i="5"/>
  <c r="L22" i="5"/>
  <c r="L23" i="5"/>
  <c r="L24" i="5"/>
  <c r="L25" i="5"/>
  <c r="AF25" i="5" s="1"/>
  <c r="L26" i="5"/>
  <c r="L27" i="5"/>
  <c r="AF27" i="5" s="1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AF43" i="5" s="1"/>
  <c r="L44" i="5"/>
  <c r="L16" i="5"/>
  <c r="J26" i="5"/>
  <c r="K26" i="5" s="1"/>
  <c r="J39" i="5"/>
  <c r="J17" i="5"/>
  <c r="K17" i="5" s="1"/>
  <c r="J18" i="5"/>
  <c r="K18" i="5" s="1"/>
  <c r="J19" i="5"/>
  <c r="J20" i="5"/>
  <c r="K20" i="5" s="1"/>
  <c r="F56" i="5" s="1"/>
  <c r="J21" i="5"/>
  <c r="K21" i="5" s="1"/>
  <c r="F61" i="5" s="1"/>
  <c r="J22" i="5"/>
  <c r="K22" i="5" s="1"/>
  <c r="F62" i="5" s="1"/>
  <c r="J23" i="5"/>
  <c r="J24" i="5"/>
  <c r="K24" i="5" s="1"/>
  <c r="J25" i="5"/>
  <c r="K25" i="5" s="1"/>
  <c r="J27" i="5"/>
  <c r="J28" i="5"/>
  <c r="J29" i="5"/>
  <c r="J30" i="5"/>
  <c r="J31" i="5"/>
  <c r="J32" i="5"/>
  <c r="J33" i="5"/>
  <c r="J34" i="5"/>
  <c r="J35" i="5"/>
  <c r="J36" i="5"/>
  <c r="J37" i="5"/>
  <c r="J38" i="5"/>
  <c r="J40" i="5"/>
  <c r="J41" i="5"/>
  <c r="J42" i="5"/>
  <c r="K42" i="5" s="1"/>
  <c r="C56" i="5" s="1"/>
  <c r="J43" i="5"/>
  <c r="K43" i="5" s="1"/>
  <c r="C57" i="5" s="1"/>
  <c r="J44" i="5"/>
  <c r="K44" i="5" s="1"/>
  <c r="C58" i="5" s="1"/>
  <c r="B51" i="5"/>
  <c r="B52" i="5" s="1"/>
  <c r="U41" i="5"/>
  <c r="P41" i="5"/>
  <c r="U40" i="5"/>
  <c r="P40" i="5"/>
  <c r="R40" i="5" s="1"/>
  <c r="U39" i="5"/>
  <c r="P39" i="5"/>
  <c r="U38" i="5"/>
  <c r="P38" i="5"/>
  <c r="U37" i="5"/>
  <c r="P37" i="5"/>
  <c r="R37" i="5" s="1"/>
  <c r="U36" i="5"/>
  <c r="P36" i="5"/>
  <c r="R36" i="5" s="1"/>
  <c r="U35" i="5"/>
  <c r="P35" i="5"/>
  <c r="R35" i="5" s="1"/>
  <c r="U34" i="5"/>
  <c r="P34" i="5"/>
  <c r="R34" i="5" s="1"/>
  <c r="U33" i="5"/>
  <c r="P33" i="5"/>
  <c r="R33" i="5" s="1"/>
  <c r="U32" i="5"/>
  <c r="P32" i="5"/>
  <c r="R32" i="5" s="1"/>
  <c r="U31" i="5"/>
  <c r="P31" i="5"/>
  <c r="U30" i="5"/>
  <c r="P30" i="5"/>
  <c r="U29" i="5"/>
  <c r="P29" i="5"/>
  <c r="R29" i="5" s="1"/>
  <c r="U28" i="5"/>
  <c r="P28" i="5"/>
  <c r="R28" i="5" s="1"/>
  <c r="U27" i="5"/>
  <c r="P27" i="5"/>
  <c r="U26" i="5"/>
  <c r="P26" i="5"/>
  <c r="U25" i="5"/>
  <c r="P25" i="5"/>
  <c r="U24" i="5"/>
  <c r="P24" i="5"/>
  <c r="U23" i="5"/>
  <c r="P23" i="5"/>
  <c r="U22" i="5"/>
  <c r="P22" i="5"/>
  <c r="U21" i="5"/>
  <c r="P21" i="5"/>
  <c r="U20" i="5"/>
  <c r="P20" i="5"/>
  <c r="U19" i="5"/>
  <c r="P19" i="5"/>
  <c r="U18" i="5"/>
  <c r="P18" i="5"/>
  <c r="U17" i="5"/>
  <c r="P17" i="5"/>
  <c r="AD16" i="5"/>
  <c r="U16" i="5"/>
  <c r="J16" i="5"/>
  <c r="K16" i="5" s="1"/>
  <c r="B8" i="5"/>
  <c r="Q34" i="5" s="1"/>
  <c r="J7" i="5"/>
  <c r="B6" i="5"/>
  <c r="B5" i="5"/>
  <c r="K90" i="5" l="1"/>
  <c r="AH47" i="5"/>
  <c r="O49" i="5"/>
  <c r="R49" i="5" s="1"/>
  <c r="D63" i="5"/>
  <c r="Y45" i="5"/>
  <c r="C67" i="5"/>
  <c r="N48" i="5"/>
  <c r="D62" i="5" s="1"/>
  <c r="C68" i="5"/>
  <c r="C73" i="5"/>
  <c r="N47" i="5"/>
  <c r="D61" i="5" s="1"/>
  <c r="O48" i="5"/>
  <c r="R48" i="5" s="1"/>
  <c r="AF46" i="5"/>
  <c r="C71" i="5"/>
  <c r="C76" i="5"/>
  <c r="C72" i="5"/>
  <c r="AM49" i="5"/>
  <c r="Y48" i="5"/>
  <c r="Y46" i="5"/>
  <c r="AK46" i="5" s="1"/>
  <c r="AM46" i="5" s="1"/>
  <c r="AF24" i="5"/>
  <c r="Q47" i="5"/>
  <c r="S47" i="5" s="1"/>
  <c r="AH48" i="5"/>
  <c r="AI48" i="5" s="1"/>
  <c r="AL48" i="5" s="1"/>
  <c r="AF45" i="5"/>
  <c r="O46" i="5"/>
  <c r="D60" i="5"/>
  <c r="Y47" i="5"/>
  <c r="AK47" i="5" s="1"/>
  <c r="AM47" i="5" s="1"/>
  <c r="AG45" i="5"/>
  <c r="AG29" i="5"/>
  <c r="C62" i="5"/>
  <c r="AG46" i="5"/>
  <c r="AH46" i="5" s="1"/>
  <c r="AI46" i="5" s="1"/>
  <c r="AG37" i="5"/>
  <c r="AG21" i="5"/>
  <c r="AF21" i="5"/>
  <c r="AH21" i="5" s="1"/>
  <c r="AG44" i="5"/>
  <c r="AH44" i="5" s="1"/>
  <c r="C61" i="5"/>
  <c r="AF44" i="5"/>
  <c r="AF20" i="5"/>
  <c r="AH20" i="5" s="1"/>
  <c r="AG43" i="5"/>
  <c r="AH43" i="5" s="1"/>
  <c r="AG42" i="5"/>
  <c r="Q48" i="5"/>
  <c r="S48" i="5" s="1"/>
  <c r="C60" i="5"/>
  <c r="AF19" i="5"/>
  <c r="AH19" i="5" s="1"/>
  <c r="AF42" i="5"/>
  <c r="AH42" i="5" s="1"/>
  <c r="AF26" i="5"/>
  <c r="AF18" i="5"/>
  <c r="AH18" i="5" s="1"/>
  <c r="F60" i="5"/>
  <c r="F58" i="5"/>
  <c r="F57" i="5"/>
  <c r="E63" i="5"/>
  <c r="AF23" i="5"/>
  <c r="AH23" i="5" s="1"/>
  <c r="AG16" i="5"/>
  <c r="V16" i="5"/>
  <c r="X16" i="5" s="1"/>
  <c r="Y16" i="5" s="1"/>
  <c r="AF22" i="5"/>
  <c r="AH22" i="5" s="1"/>
  <c r="N16" i="5"/>
  <c r="O16" i="5" s="1"/>
  <c r="AO16" i="5" s="1"/>
  <c r="AF16" i="5"/>
  <c r="V25" i="5"/>
  <c r="X25" i="5" s="1"/>
  <c r="Y25" i="5" s="1"/>
  <c r="V33" i="5"/>
  <c r="X33" i="5" s="1"/>
  <c r="Y33" i="5" s="1"/>
  <c r="V41" i="5"/>
  <c r="X41" i="5" s="1"/>
  <c r="AG34" i="5"/>
  <c r="N26" i="5"/>
  <c r="O26" i="5" s="1"/>
  <c r="AG18" i="5"/>
  <c r="AI49" i="5"/>
  <c r="AL49" i="5" s="1"/>
  <c r="AG17" i="5"/>
  <c r="V29" i="6"/>
  <c r="X29" i="6" s="1"/>
  <c r="V28" i="6"/>
  <c r="X28" i="6" s="1"/>
  <c r="V45" i="6"/>
  <c r="X45" i="6" s="1"/>
  <c r="Y45" i="6" s="1"/>
  <c r="AF27" i="6"/>
  <c r="AH27" i="6" s="1"/>
  <c r="AF36" i="6"/>
  <c r="AF40" i="6"/>
  <c r="AG17" i="6"/>
  <c r="N18" i="6"/>
  <c r="AG24" i="6"/>
  <c r="AG25" i="6"/>
  <c r="AG38" i="6"/>
  <c r="N39" i="6"/>
  <c r="AF45" i="6"/>
  <c r="AF49" i="6"/>
  <c r="AG29" i="6"/>
  <c r="AH29" i="6" s="1"/>
  <c r="V18" i="6"/>
  <c r="X18" i="6" s="1"/>
  <c r="V19" i="6"/>
  <c r="X19" i="6" s="1"/>
  <c r="Y19" i="6" s="1"/>
  <c r="V24" i="6"/>
  <c r="X24" i="6" s="1"/>
  <c r="Y24" i="6" s="1"/>
  <c r="V27" i="6"/>
  <c r="X27" i="6" s="1"/>
  <c r="Y27" i="6" s="1"/>
  <c r="V36" i="6"/>
  <c r="X36" i="6" s="1"/>
  <c r="Y36" i="6" s="1"/>
  <c r="V37" i="6"/>
  <c r="X37" i="6" s="1"/>
  <c r="Y37" i="6" s="1"/>
  <c r="V43" i="6"/>
  <c r="X43" i="6" s="1"/>
  <c r="Y43" i="6" s="1"/>
  <c r="AI43" i="6" s="1"/>
  <c r="AL43" i="6" s="1"/>
  <c r="AF29" i="6"/>
  <c r="AI36" i="6"/>
  <c r="AL36" i="6" s="1"/>
  <c r="AG39" i="6"/>
  <c r="AG26" i="6"/>
  <c r="AG27" i="6"/>
  <c r="AG37" i="6"/>
  <c r="AF39" i="6"/>
  <c r="V47" i="6"/>
  <c r="X47" i="6" s="1"/>
  <c r="Y47" i="6" s="1"/>
  <c r="AG28" i="6"/>
  <c r="AH28" i="6" s="1"/>
  <c r="V30" i="6"/>
  <c r="X30" i="6" s="1"/>
  <c r="Y30" i="6" s="1"/>
  <c r="AG34" i="6"/>
  <c r="N40" i="6"/>
  <c r="N42" i="6"/>
  <c r="N43" i="6"/>
  <c r="AG21" i="6"/>
  <c r="AG22" i="6"/>
  <c r="AG23" i="6"/>
  <c r="V48" i="6"/>
  <c r="X48" i="6" s="1"/>
  <c r="Q18" i="6"/>
  <c r="AF47" i="6"/>
  <c r="AF30" i="6"/>
  <c r="AF31" i="6"/>
  <c r="AF16" i="6"/>
  <c r="AH16" i="6" s="1"/>
  <c r="N17" i="6"/>
  <c r="O17" i="6" s="1"/>
  <c r="R17" i="6" s="1"/>
  <c r="AF18" i="6"/>
  <c r="AH18" i="6" s="1"/>
  <c r="V44" i="6"/>
  <c r="X44" i="6" s="1"/>
  <c r="Y44" i="6" s="1"/>
  <c r="N47" i="6"/>
  <c r="AG30" i="6"/>
  <c r="AH30" i="6" s="1"/>
  <c r="AG32" i="6"/>
  <c r="N33" i="6"/>
  <c r="O33" i="6" s="1"/>
  <c r="R33" i="6" s="1"/>
  <c r="Q34" i="6"/>
  <c r="S34" i="6" s="1"/>
  <c r="V49" i="6"/>
  <c r="X49" i="6" s="1"/>
  <c r="Y49" i="6" s="1"/>
  <c r="AF25" i="6"/>
  <c r="AH25" i="6" s="1"/>
  <c r="Q26" i="6"/>
  <c r="S26" i="6" s="1"/>
  <c r="N38" i="6"/>
  <c r="N41" i="6"/>
  <c r="AF42" i="6"/>
  <c r="AG43" i="6"/>
  <c r="V34" i="6"/>
  <c r="X34" i="6" s="1"/>
  <c r="Y34" i="6" s="1"/>
  <c r="N35" i="6"/>
  <c r="V20" i="6"/>
  <c r="X20" i="6" s="1"/>
  <c r="V21" i="6"/>
  <c r="X21" i="6" s="1"/>
  <c r="Y21" i="6" s="1"/>
  <c r="AI21" i="6" s="1"/>
  <c r="V22" i="6"/>
  <c r="X22" i="6" s="1"/>
  <c r="V23" i="6"/>
  <c r="X23" i="6" s="1"/>
  <c r="Y23" i="6" s="1"/>
  <c r="N26" i="6"/>
  <c r="O26" i="6" s="1"/>
  <c r="R26" i="6" s="1"/>
  <c r="AG47" i="6"/>
  <c r="Y48" i="6"/>
  <c r="V31" i="6"/>
  <c r="X31" i="6" s="1"/>
  <c r="Y31" i="6" s="1"/>
  <c r="N32" i="6"/>
  <c r="O32" i="6" s="1"/>
  <c r="R32" i="6" s="1"/>
  <c r="V26" i="6"/>
  <c r="X26" i="6" s="1"/>
  <c r="Y26" i="6" s="1"/>
  <c r="V38" i="6"/>
  <c r="X38" i="6" s="1"/>
  <c r="Y38" i="6" s="1"/>
  <c r="V41" i="6"/>
  <c r="X41" i="6" s="1"/>
  <c r="Y41" i="6" s="1"/>
  <c r="V42" i="6"/>
  <c r="X42" i="6" s="1"/>
  <c r="Y42" i="6" s="1"/>
  <c r="AF48" i="6"/>
  <c r="N30" i="6"/>
  <c r="O30" i="6" s="1"/>
  <c r="R30" i="6" s="1"/>
  <c r="V32" i="6"/>
  <c r="X32" i="6" s="1"/>
  <c r="Y32" i="6" s="1"/>
  <c r="V25" i="6"/>
  <c r="X25" i="6" s="1"/>
  <c r="AF19" i="6"/>
  <c r="AH19" i="6" s="1"/>
  <c r="AG19" i="6"/>
  <c r="N34" i="6"/>
  <c r="O34" i="6" s="1"/>
  <c r="R34" i="6" s="1"/>
  <c r="V16" i="6"/>
  <c r="X16" i="6" s="1"/>
  <c r="Y16" i="6" s="1"/>
  <c r="AI16" i="6" s="1"/>
  <c r="V17" i="6"/>
  <c r="X17" i="6" s="1"/>
  <c r="Y17" i="6" s="1"/>
  <c r="AF20" i="6"/>
  <c r="AH20" i="6" s="1"/>
  <c r="AF21" i="6"/>
  <c r="AH21" i="6" s="1"/>
  <c r="AF22" i="6"/>
  <c r="AH22" i="6" s="1"/>
  <c r="AF23" i="6"/>
  <c r="AH23" i="6" s="1"/>
  <c r="V39" i="6"/>
  <c r="X39" i="6" s="1"/>
  <c r="Y39" i="6" s="1"/>
  <c r="AI39" i="6" s="1"/>
  <c r="AL39" i="6" s="1"/>
  <c r="AG45" i="6"/>
  <c r="AI49" i="6"/>
  <c r="AL49" i="6" s="1"/>
  <c r="AG31" i="6"/>
  <c r="V33" i="6"/>
  <c r="X33" i="6" s="1"/>
  <c r="Y33" i="6" s="1"/>
  <c r="V35" i="6"/>
  <c r="X35" i="6" s="1"/>
  <c r="Y35" i="6" s="1"/>
  <c r="AG20" i="6"/>
  <c r="AF24" i="6"/>
  <c r="AH24" i="6" s="1"/>
  <c r="AF41" i="6"/>
  <c r="Q28" i="6"/>
  <c r="S28" i="6" s="1"/>
  <c r="O31" i="6"/>
  <c r="R31" i="6" s="1"/>
  <c r="Y25" i="6"/>
  <c r="AI25" i="6" s="1"/>
  <c r="O18" i="6"/>
  <c r="R18" i="6" s="1"/>
  <c r="Y18" i="6"/>
  <c r="AK18" i="6" s="1"/>
  <c r="N27" i="6"/>
  <c r="O27" i="6" s="1"/>
  <c r="R27" i="6" s="1"/>
  <c r="AF26" i="6"/>
  <c r="AH26" i="6" s="1"/>
  <c r="N25" i="6"/>
  <c r="N24" i="6"/>
  <c r="O24" i="6" s="1"/>
  <c r="R24" i="6" s="1"/>
  <c r="N23" i="6"/>
  <c r="O23" i="6" s="1"/>
  <c r="R23" i="6" s="1"/>
  <c r="N22" i="6"/>
  <c r="O22" i="6" s="1"/>
  <c r="R22" i="6" s="1"/>
  <c r="N19" i="6"/>
  <c r="O19" i="6" s="1"/>
  <c r="R19" i="6" s="1"/>
  <c r="N21" i="6"/>
  <c r="O21" i="6" s="1"/>
  <c r="R21" i="6" s="1"/>
  <c r="N20" i="6"/>
  <c r="O20" i="6" s="1"/>
  <c r="R20" i="6" s="1"/>
  <c r="N16" i="6"/>
  <c r="O16" i="6" s="1"/>
  <c r="R16" i="6" s="1"/>
  <c r="S37" i="6"/>
  <c r="AK37" i="6"/>
  <c r="Q20" i="6"/>
  <c r="Y20" i="6"/>
  <c r="AI20" i="6" s="1"/>
  <c r="O29" i="6"/>
  <c r="R29" i="6" s="1"/>
  <c r="AG16" i="6"/>
  <c r="Q25" i="6"/>
  <c r="AI45" i="6"/>
  <c r="AL45" i="6" s="1"/>
  <c r="O28" i="6"/>
  <c r="R28" i="6" s="1"/>
  <c r="Q33" i="6"/>
  <c r="S18" i="6"/>
  <c r="AF37" i="6"/>
  <c r="AI37" i="6" s="1"/>
  <c r="AL37" i="6" s="1"/>
  <c r="Q24" i="6"/>
  <c r="AG48" i="6"/>
  <c r="Q30" i="6"/>
  <c r="O25" i="6"/>
  <c r="R25" i="6" s="1"/>
  <c r="Q16" i="6"/>
  <c r="AG40" i="6"/>
  <c r="AI40" i="6"/>
  <c r="AL40" i="6" s="1"/>
  <c r="Q45" i="6"/>
  <c r="Q17" i="6"/>
  <c r="AG18" i="6"/>
  <c r="AI27" i="6"/>
  <c r="Q29" i="6"/>
  <c r="Q32" i="6"/>
  <c r="O35" i="6"/>
  <c r="R35" i="6" s="1"/>
  <c r="Q21" i="6"/>
  <c r="N36" i="6"/>
  <c r="AG36" i="6"/>
  <c r="Q44" i="6"/>
  <c r="Q36" i="6"/>
  <c r="Q35" i="6"/>
  <c r="Q31" i="6"/>
  <c r="Q47" i="6"/>
  <c r="Q39" i="6"/>
  <c r="Q42" i="6"/>
  <c r="Q48" i="6"/>
  <c r="Q40" i="6"/>
  <c r="Q19" i="6"/>
  <c r="Q43" i="6"/>
  <c r="Q23" i="6"/>
  <c r="Q46" i="6"/>
  <c r="Q38" i="6"/>
  <c r="Q27" i="6"/>
  <c r="Q49" i="6"/>
  <c r="Q41" i="6"/>
  <c r="AF17" i="6"/>
  <c r="AH17" i="6" s="1"/>
  <c r="Q22" i="6"/>
  <c r="Y22" i="6"/>
  <c r="N44" i="6"/>
  <c r="AG44" i="6"/>
  <c r="AI44" i="6"/>
  <c r="AL44" i="6" s="1"/>
  <c r="AG42" i="6"/>
  <c r="AF32" i="6"/>
  <c r="AH32" i="6" s="1"/>
  <c r="AF33" i="6"/>
  <c r="AH33" i="6" s="1"/>
  <c r="AF34" i="6"/>
  <c r="AG35" i="6"/>
  <c r="AH35" i="6" s="1"/>
  <c r="AI35" i="6" s="1"/>
  <c r="N37" i="6"/>
  <c r="N45" i="6"/>
  <c r="AF38" i="6"/>
  <c r="AI38" i="6" s="1"/>
  <c r="AL38" i="6" s="1"/>
  <c r="AG41" i="6"/>
  <c r="AF46" i="6"/>
  <c r="AI46" i="6" s="1"/>
  <c r="AL46" i="6" s="1"/>
  <c r="AG49" i="6"/>
  <c r="Y28" i="6"/>
  <c r="Y29" i="6"/>
  <c r="AF36" i="5"/>
  <c r="AF28" i="5"/>
  <c r="AG35" i="5"/>
  <c r="AG27" i="5"/>
  <c r="AG19" i="5"/>
  <c r="V23" i="5"/>
  <c r="X23" i="5" s="1"/>
  <c r="Y23" i="5" s="1"/>
  <c r="AG39" i="5"/>
  <c r="AG31" i="5"/>
  <c r="AG23" i="5"/>
  <c r="N38" i="5"/>
  <c r="N30" i="5"/>
  <c r="N22" i="5"/>
  <c r="O22" i="5" s="1"/>
  <c r="AG36" i="5"/>
  <c r="AG28" i="5"/>
  <c r="AG20" i="5"/>
  <c r="AG40" i="5"/>
  <c r="AG32" i="5"/>
  <c r="AG24" i="5"/>
  <c r="V31" i="5"/>
  <c r="X31" i="5" s="1"/>
  <c r="Y31" i="5" s="1"/>
  <c r="N43" i="5"/>
  <c r="D57" i="5" s="1"/>
  <c r="N35" i="5"/>
  <c r="N27" i="5"/>
  <c r="O27" i="5" s="1"/>
  <c r="N19" i="5"/>
  <c r="O19" i="5" s="1"/>
  <c r="AG26" i="5"/>
  <c r="V44" i="5"/>
  <c r="X44" i="5" s="1"/>
  <c r="Y44" i="5" s="1"/>
  <c r="AF38" i="5"/>
  <c r="AF30" i="5"/>
  <c r="AG38" i="5"/>
  <c r="AG30" i="5"/>
  <c r="AG22" i="5"/>
  <c r="AH16" i="5"/>
  <c r="Q25" i="5"/>
  <c r="N40" i="5"/>
  <c r="N39" i="5"/>
  <c r="N31" i="5"/>
  <c r="N23" i="5"/>
  <c r="N42" i="5"/>
  <c r="D56" i="5" s="1"/>
  <c r="N34" i="5"/>
  <c r="Q26" i="5"/>
  <c r="V42" i="5"/>
  <c r="X42" i="5" s="1"/>
  <c r="Y42" i="5" s="1"/>
  <c r="V34" i="5"/>
  <c r="X34" i="5" s="1"/>
  <c r="Y34" i="5" s="1"/>
  <c r="AK34" i="5" s="1"/>
  <c r="V26" i="5"/>
  <c r="X26" i="5" s="1"/>
  <c r="Y26" i="5" s="1"/>
  <c r="V18" i="5"/>
  <c r="X18" i="5" s="1"/>
  <c r="Y18" i="5" s="1"/>
  <c r="N44" i="5"/>
  <c r="N36" i="5"/>
  <c r="N28" i="5"/>
  <c r="N20" i="5"/>
  <c r="V17" i="5"/>
  <c r="X17" i="5" s="1"/>
  <c r="Y17" i="5" s="1"/>
  <c r="AF31" i="5"/>
  <c r="AF39" i="5"/>
  <c r="N18" i="5"/>
  <c r="O18" i="5" s="1"/>
  <c r="R18" i="5" s="1"/>
  <c r="Q41" i="5"/>
  <c r="V39" i="5"/>
  <c r="X39" i="5" s="1"/>
  <c r="Y39" i="5" s="1"/>
  <c r="N32" i="5"/>
  <c r="N24" i="5"/>
  <c r="O24" i="5" s="1"/>
  <c r="Q17" i="5"/>
  <c r="Q33" i="5"/>
  <c r="Q18" i="5"/>
  <c r="V40" i="5"/>
  <c r="X40" i="5" s="1"/>
  <c r="Y40" i="5" s="1"/>
  <c r="V32" i="5"/>
  <c r="X32" i="5" s="1"/>
  <c r="Y32" i="5" s="1"/>
  <c r="V24" i="5"/>
  <c r="X24" i="5" s="1"/>
  <c r="Y24" i="5" s="1"/>
  <c r="N41" i="5"/>
  <c r="N33" i="5"/>
  <c r="N25" i="5"/>
  <c r="O25" i="5" s="1"/>
  <c r="R25" i="5" s="1"/>
  <c r="N17" i="5"/>
  <c r="O17" i="5" s="1"/>
  <c r="R17" i="5" s="1"/>
  <c r="Y41" i="5"/>
  <c r="V38" i="5"/>
  <c r="X38" i="5" s="1"/>
  <c r="Y38" i="5" s="1"/>
  <c r="V30" i="5"/>
  <c r="X30" i="5" s="1"/>
  <c r="Y30" i="5" s="1"/>
  <c r="V22" i="5"/>
  <c r="X22" i="5" s="1"/>
  <c r="Y22" i="5" s="1"/>
  <c r="V37" i="5"/>
  <c r="X37" i="5" s="1"/>
  <c r="Y37" i="5" s="1"/>
  <c r="V29" i="5"/>
  <c r="X29" i="5" s="1"/>
  <c r="Y29" i="5" s="1"/>
  <c r="V21" i="5"/>
  <c r="X21" i="5" s="1"/>
  <c r="Y21" i="5" s="1"/>
  <c r="V36" i="5"/>
  <c r="X36" i="5" s="1"/>
  <c r="Y36" i="5" s="1"/>
  <c r="V28" i="5"/>
  <c r="X28" i="5" s="1"/>
  <c r="Y28" i="5" s="1"/>
  <c r="V20" i="5"/>
  <c r="X20" i="5" s="1"/>
  <c r="Y20" i="5" s="1"/>
  <c r="N45" i="5"/>
  <c r="N37" i="5"/>
  <c r="N29" i="5"/>
  <c r="N21" i="5"/>
  <c r="V43" i="5"/>
  <c r="X43" i="5" s="1"/>
  <c r="Y43" i="5" s="1"/>
  <c r="V35" i="5"/>
  <c r="X35" i="5" s="1"/>
  <c r="Y35" i="5" s="1"/>
  <c r="V27" i="5"/>
  <c r="X27" i="5" s="1"/>
  <c r="Y27" i="5" s="1"/>
  <c r="V19" i="5"/>
  <c r="X19" i="5" s="1"/>
  <c r="Y19" i="5" s="1"/>
  <c r="Q42" i="5"/>
  <c r="S42" i="5" s="1"/>
  <c r="Q16" i="5"/>
  <c r="AF35" i="5"/>
  <c r="Q40" i="5"/>
  <c r="Q32" i="5"/>
  <c r="Q24" i="5"/>
  <c r="Q44" i="5"/>
  <c r="S44" i="5" s="1"/>
  <c r="Q39" i="5"/>
  <c r="Q31" i="5"/>
  <c r="Q23" i="5"/>
  <c r="Q43" i="5"/>
  <c r="S43" i="5" s="1"/>
  <c r="Q38" i="5"/>
  <c r="Q30" i="5"/>
  <c r="Q22" i="5"/>
  <c r="Q37" i="5"/>
  <c r="Q29" i="5"/>
  <c r="Q21" i="5"/>
  <c r="Q45" i="5"/>
  <c r="S45" i="5" s="1"/>
  <c r="Q36" i="5"/>
  <c r="Q28" i="5"/>
  <c r="Q20" i="5"/>
  <c r="Q35" i="5"/>
  <c r="Q27" i="5"/>
  <c r="Q19" i="5"/>
  <c r="R30" i="5"/>
  <c r="R38" i="5"/>
  <c r="R31" i="5"/>
  <c r="R39" i="5"/>
  <c r="R41" i="5"/>
  <c r="AF34" i="5"/>
  <c r="AF32" i="5"/>
  <c r="AF40" i="5"/>
  <c r="AF29" i="5"/>
  <c r="AF33" i="5"/>
  <c r="AF37" i="5"/>
  <c r="AF41" i="5"/>
  <c r="AH27" i="5"/>
  <c r="AH24" i="5"/>
  <c r="AH25" i="5"/>
  <c r="AH17" i="5"/>
  <c r="AH26" i="5"/>
  <c r="R26" i="5" l="1"/>
  <c r="AO26" i="5"/>
  <c r="E62" i="5"/>
  <c r="AH45" i="5"/>
  <c r="AO25" i="5"/>
  <c r="R22" i="5"/>
  <c r="AO22" i="5"/>
  <c r="AK28" i="5"/>
  <c r="R24" i="5"/>
  <c r="AO24" i="5"/>
  <c r="R19" i="5"/>
  <c r="AO19" i="5"/>
  <c r="O47" i="5"/>
  <c r="AK27" i="5"/>
  <c r="R27" i="5"/>
  <c r="AO27" i="5"/>
  <c r="AO18" i="5"/>
  <c r="AO17" i="5"/>
  <c r="AK48" i="5"/>
  <c r="AM48" i="5" s="1"/>
  <c r="AK30" i="5"/>
  <c r="AK32" i="5"/>
  <c r="AI47" i="5"/>
  <c r="E60" i="5"/>
  <c r="R46" i="5"/>
  <c r="AL46" i="5" s="1"/>
  <c r="AK43" i="5"/>
  <c r="AM43" i="5" s="1"/>
  <c r="O43" i="5"/>
  <c r="O44" i="5"/>
  <c r="D58" i="5"/>
  <c r="O23" i="5"/>
  <c r="G59" i="5"/>
  <c r="H59" i="5" s="1"/>
  <c r="G63" i="5"/>
  <c r="H63" i="5" s="1"/>
  <c r="AK36" i="5"/>
  <c r="AK16" i="5"/>
  <c r="AK38" i="5"/>
  <c r="AK44" i="5"/>
  <c r="AM44" i="5" s="1"/>
  <c r="G58" i="5"/>
  <c r="H58" i="5" s="1"/>
  <c r="G62" i="5"/>
  <c r="H62" i="5" s="1"/>
  <c r="O45" i="5"/>
  <c r="D59" i="5"/>
  <c r="AK39" i="5"/>
  <c r="O20" i="5"/>
  <c r="G60" i="5"/>
  <c r="H60" i="5" s="1"/>
  <c r="G56" i="5"/>
  <c r="H56" i="5" s="1"/>
  <c r="AK35" i="5"/>
  <c r="AK40" i="5"/>
  <c r="O21" i="5"/>
  <c r="G61" i="5"/>
  <c r="H61" i="5" s="1"/>
  <c r="G57" i="5"/>
  <c r="H57" i="5" s="1"/>
  <c r="AK37" i="5"/>
  <c r="AI28" i="5"/>
  <c r="AL28" i="5" s="1"/>
  <c r="AK45" i="5"/>
  <c r="AM45" i="5" s="1"/>
  <c r="AI24" i="5"/>
  <c r="AL24" i="5" s="1"/>
  <c r="AK33" i="5"/>
  <c r="AK19" i="5"/>
  <c r="AK21" i="5"/>
  <c r="AK31" i="5"/>
  <c r="AK42" i="5"/>
  <c r="AM42" i="5" s="1"/>
  <c r="AK22" i="5"/>
  <c r="AK24" i="5"/>
  <c r="O42" i="5"/>
  <c r="E56" i="5" s="1"/>
  <c r="AK41" i="5"/>
  <c r="AK23" i="5"/>
  <c r="S18" i="5"/>
  <c r="AK18" i="5"/>
  <c r="AI31" i="5"/>
  <c r="AL31" i="5" s="1"/>
  <c r="AK29" i="5"/>
  <c r="AI17" i="5"/>
  <c r="AL17" i="5" s="1"/>
  <c r="AK26" i="5"/>
  <c r="AK17" i="5"/>
  <c r="AK25" i="5"/>
  <c r="AK20" i="5"/>
  <c r="AI23" i="5"/>
  <c r="AI36" i="5"/>
  <c r="AL36" i="5" s="1"/>
  <c r="AI30" i="5"/>
  <c r="AL30" i="5" s="1"/>
  <c r="AI20" i="5"/>
  <c r="AI26" i="5"/>
  <c r="AL26" i="5" s="1"/>
  <c r="AI25" i="5"/>
  <c r="AL25" i="5" s="1"/>
  <c r="AI33" i="6"/>
  <c r="AL33" i="6" s="1"/>
  <c r="AI32" i="6"/>
  <c r="AL32" i="6" s="1"/>
  <c r="AI28" i="6"/>
  <c r="AL28" i="6" s="1"/>
  <c r="AI24" i="6"/>
  <c r="AI29" i="6"/>
  <c r="AL35" i="6"/>
  <c r="AH34" i="6"/>
  <c r="AI34" i="6" s="1"/>
  <c r="AL34" i="6" s="1"/>
  <c r="AI23" i="6"/>
  <c r="AL23" i="6" s="1"/>
  <c r="AI19" i="6"/>
  <c r="AI26" i="6"/>
  <c r="AL26" i="6" s="1"/>
  <c r="AI47" i="6"/>
  <c r="AL47" i="6" s="1"/>
  <c r="AI48" i="6"/>
  <c r="AL48" i="6" s="1"/>
  <c r="AI30" i="6"/>
  <c r="AL30" i="6" s="1"/>
  <c r="AL27" i="6"/>
  <c r="AI22" i="6"/>
  <c r="AL22" i="6" s="1"/>
  <c r="AL19" i="6"/>
  <c r="AI18" i="6"/>
  <c r="AL18" i="6" s="1"/>
  <c r="AI41" i="6"/>
  <c r="AL41" i="6" s="1"/>
  <c r="AH31" i="6"/>
  <c r="AI31" i="6" s="1"/>
  <c r="AL31" i="6" s="1"/>
  <c r="AK34" i="6"/>
  <c r="AM34" i="6" s="1"/>
  <c r="AI42" i="6"/>
  <c r="AL42" i="6" s="1"/>
  <c r="AL25" i="6"/>
  <c r="AL24" i="6"/>
  <c r="AI17" i="6"/>
  <c r="AL17" i="6" s="1"/>
  <c r="AL16" i="6"/>
  <c r="AL21" i="6"/>
  <c r="AK46" i="6"/>
  <c r="S46" i="6"/>
  <c r="S20" i="6"/>
  <c r="AK20" i="6"/>
  <c r="S31" i="6"/>
  <c r="AK31" i="6"/>
  <c r="AK28" i="6"/>
  <c r="AM28" i="6" s="1"/>
  <c r="AK39" i="6"/>
  <c r="S39" i="6"/>
  <c r="AK23" i="6"/>
  <c r="S23" i="6"/>
  <c r="AM23" i="6" s="1"/>
  <c r="S35" i="6"/>
  <c r="AK35" i="6"/>
  <c r="S45" i="6"/>
  <c r="AK45" i="6"/>
  <c r="AK24" i="6"/>
  <c r="S24" i="6"/>
  <c r="AK47" i="6"/>
  <c r="S47" i="6"/>
  <c r="AM47" i="6" s="1"/>
  <c r="S17" i="6"/>
  <c r="AK17" i="6"/>
  <c r="S22" i="6"/>
  <c r="AK22" i="6"/>
  <c r="AK43" i="6"/>
  <c r="S43" i="6"/>
  <c r="S32" i="6"/>
  <c r="AK32" i="6"/>
  <c r="AL29" i="6"/>
  <c r="S19" i="6"/>
  <c r="AK19" i="6"/>
  <c r="S36" i="6"/>
  <c r="AK36" i="6"/>
  <c r="AK29" i="6"/>
  <c r="S29" i="6"/>
  <c r="AK26" i="6"/>
  <c r="AM26" i="6" s="1"/>
  <c r="AM18" i="6"/>
  <c r="AK38" i="6"/>
  <c r="S38" i="6"/>
  <c r="S16" i="6"/>
  <c r="AK16" i="6"/>
  <c r="AK41" i="6"/>
  <c r="S41" i="6"/>
  <c r="S40" i="6"/>
  <c r="AK40" i="6"/>
  <c r="S44" i="6"/>
  <c r="AK44" i="6"/>
  <c r="AK30" i="6"/>
  <c r="S30" i="6"/>
  <c r="AK25" i="6"/>
  <c r="S25" i="6"/>
  <c r="AK49" i="6"/>
  <c r="S49" i="6"/>
  <c r="S48" i="6"/>
  <c r="AK48" i="6"/>
  <c r="AL20" i="6"/>
  <c r="S21" i="6"/>
  <c r="AK21" i="6"/>
  <c r="AM37" i="6"/>
  <c r="AK27" i="6"/>
  <c r="S27" i="6"/>
  <c r="S42" i="6"/>
  <c r="AK42" i="6"/>
  <c r="S33" i="6"/>
  <c r="AK33" i="6"/>
  <c r="AI43" i="5"/>
  <c r="AI18" i="5"/>
  <c r="AL18" i="5" s="1"/>
  <c r="AI41" i="5"/>
  <c r="AL41" i="5" s="1"/>
  <c r="AI45" i="5"/>
  <c r="AI38" i="5"/>
  <c r="AL38" i="5" s="1"/>
  <c r="AI19" i="5"/>
  <c r="AL19" i="5" s="1"/>
  <c r="AI22" i="5"/>
  <c r="AL22" i="5" s="1"/>
  <c r="AI34" i="5"/>
  <c r="AL34" i="5" s="1"/>
  <c r="AI16" i="5"/>
  <c r="AI27" i="5"/>
  <c r="AI44" i="5"/>
  <c r="AI21" i="5"/>
  <c r="AI42" i="5"/>
  <c r="AI35" i="5"/>
  <c r="AL35" i="5" s="1"/>
  <c r="AI39" i="5"/>
  <c r="AL39" i="5" s="1"/>
  <c r="AI29" i="5"/>
  <c r="AL29" i="5" s="1"/>
  <c r="AI32" i="5"/>
  <c r="AL32" i="5" s="1"/>
  <c r="AI37" i="5"/>
  <c r="AL37" i="5" s="1"/>
  <c r="AI40" i="5"/>
  <c r="AL40" i="5" s="1"/>
  <c r="AI33" i="5"/>
  <c r="AL33" i="5" s="1"/>
  <c r="S16" i="5"/>
  <c r="S39" i="5"/>
  <c r="S21" i="5"/>
  <c r="S32" i="5"/>
  <c r="AM32" i="5" s="1"/>
  <c r="S40" i="5"/>
  <c r="S30" i="5"/>
  <c r="AM30" i="5" s="1"/>
  <c r="S20" i="5"/>
  <c r="S31" i="5"/>
  <c r="S23" i="5"/>
  <c r="AM23" i="5" s="1"/>
  <c r="S33" i="5"/>
  <c r="S41" i="5"/>
  <c r="S26" i="5"/>
  <c r="S22" i="5"/>
  <c r="S27" i="5"/>
  <c r="AM27" i="5" s="1"/>
  <c r="S35" i="5"/>
  <c r="S38" i="5"/>
  <c r="S24" i="5"/>
  <c r="AM24" i="5" s="1"/>
  <c r="S34" i="5"/>
  <c r="AM34" i="5" s="1"/>
  <c r="S28" i="5"/>
  <c r="S36" i="5"/>
  <c r="S17" i="5"/>
  <c r="S29" i="5"/>
  <c r="S37" i="5"/>
  <c r="AM37" i="5" s="1"/>
  <c r="S19" i="5"/>
  <c r="AM19" i="5" s="1"/>
  <c r="S25" i="5"/>
  <c r="AM28" i="5" l="1"/>
  <c r="R21" i="5"/>
  <c r="AL21" i="5" s="1"/>
  <c r="AO21" i="5"/>
  <c r="R23" i="5"/>
  <c r="AL23" i="5" s="1"/>
  <c r="AO23" i="5"/>
  <c r="R47" i="5"/>
  <c r="AL47" i="5" s="1"/>
  <c r="E61" i="5"/>
  <c r="AL27" i="5"/>
  <c r="R20" i="5"/>
  <c r="AO20" i="5"/>
  <c r="AM35" i="5"/>
  <c r="AL20" i="5"/>
  <c r="AM22" i="5"/>
  <c r="AM40" i="5"/>
  <c r="AM26" i="5"/>
  <c r="AM38" i="5"/>
  <c r="AM16" i="5"/>
  <c r="AM33" i="5"/>
  <c r="AM39" i="5"/>
  <c r="R45" i="5"/>
  <c r="AL45" i="5" s="1"/>
  <c r="E59" i="5"/>
  <c r="R44" i="5"/>
  <c r="AL44" i="5" s="1"/>
  <c r="E58" i="5"/>
  <c r="R43" i="5"/>
  <c r="AL43" i="5" s="1"/>
  <c r="E57" i="5"/>
  <c r="AM31" i="5"/>
  <c r="AM36" i="5"/>
  <c r="R42" i="5"/>
  <c r="AL42" i="5" s="1"/>
  <c r="AM21" i="5"/>
  <c r="AM17" i="5"/>
  <c r="AM20" i="5"/>
  <c r="AM18" i="5"/>
  <c r="AM41" i="5"/>
  <c r="AM25" i="5"/>
  <c r="AM29" i="5"/>
  <c r="AM27" i="6"/>
  <c r="AM49" i="6"/>
  <c r="AM42" i="6"/>
  <c r="AM48" i="6"/>
  <c r="AM44" i="6"/>
  <c r="AM19" i="6"/>
  <c r="AM45" i="6"/>
  <c r="AM31" i="6"/>
  <c r="AM40" i="6"/>
  <c r="AM25" i="6"/>
  <c r="AM41" i="6"/>
  <c r="AM29" i="6"/>
  <c r="AM43" i="6"/>
  <c r="AM39" i="6"/>
  <c r="AM46" i="6"/>
  <c r="AM30" i="6"/>
  <c r="AM24" i="6"/>
  <c r="AM22" i="6"/>
  <c r="AM17" i="6"/>
  <c r="AM35" i="6"/>
  <c r="AM32" i="6"/>
  <c r="AM21" i="6"/>
  <c r="AM20" i="6"/>
  <c r="AM33" i="6"/>
  <c r="AM16" i="6"/>
  <c r="AM36" i="6"/>
  <c r="AM38" i="6"/>
  <c r="R16" i="5"/>
  <c r="AL16" i="5" s="1"/>
</calcChain>
</file>

<file path=xl/sharedStrings.xml><?xml version="1.0" encoding="utf-8"?>
<sst xmlns="http://schemas.openxmlformats.org/spreadsheetml/2006/main" count="429" uniqueCount="100">
  <si>
    <t>(V)</t>
  </si>
  <si>
    <t>Transducer Calibration Factor</t>
  </si>
  <si>
    <t>psi/V</t>
  </si>
  <si>
    <t>Density of Water</t>
  </si>
  <si>
    <t>kg/m^3</t>
  </si>
  <si>
    <t>Mass of water collected</t>
  </si>
  <si>
    <t>lb</t>
  </si>
  <si>
    <t>Transducer Output</t>
  </si>
  <si>
    <t>Moment arm</t>
  </si>
  <si>
    <t>Time to collect water</t>
  </si>
  <si>
    <t>Fully open</t>
  </si>
  <si>
    <t>Partial 1</t>
  </si>
  <si>
    <t>Partial 2</t>
  </si>
  <si>
    <t>Closed</t>
  </si>
  <si>
    <t>Pump Speed</t>
  </si>
  <si>
    <t>(cm)</t>
  </si>
  <si>
    <t>(s)</t>
  </si>
  <si>
    <t>Dyno Mass</t>
  </si>
  <si>
    <t>kg</t>
  </si>
  <si>
    <t>(RPM)</t>
  </si>
  <si>
    <t>Pump 1</t>
  </si>
  <si>
    <t>Pump 2</t>
  </si>
  <si>
    <t>Volumetric Flow</t>
  </si>
  <si>
    <t>Nominal Time</t>
  </si>
  <si>
    <t>Transducer Head</t>
  </si>
  <si>
    <t>D_1 (inlet)</t>
  </si>
  <si>
    <t>D_2 (outlet)</t>
  </si>
  <si>
    <t>U</t>
  </si>
  <si>
    <t>(m^3/s)</t>
  </si>
  <si>
    <t>(m)</t>
  </si>
  <si>
    <t>D (impeller)</t>
  </si>
  <si>
    <t>(m/s)</t>
  </si>
  <si>
    <t>Number of blades</t>
  </si>
  <si>
    <t>v_{2r}</t>
  </si>
  <si>
    <t>b (blade height at exit)</t>
  </si>
  <si>
    <t>m</t>
  </si>
  <si>
    <t>w (blade width at exit)</t>
  </si>
  <si>
    <t>$\Phi$</t>
  </si>
  <si>
    <t>$\Psi$</t>
  </si>
  <si>
    <t>Manufacturer</t>
  </si>
  <si>
    <t>Head coeff</t>
  </si>
  <si>
    <t>flow coeff</t>
  </si>
  <si>
    <t>Trial 1</t>
  </si>
  <si>
    <t>Trial 2</t>
  </si>
  <si>
    <t>Trial 3</t>
  </si>
  <si>
    <t>time stdev</t>
  </si>
  <si>
    <t>t-inv</t>
  </si>
  <si>
    <t>$P_t$</t>
  </si>
  <si>
    <t>$B_t$</t>
  </si>
  <si>
    <t>$\delta_t$</t>
  </si>
  <si>
    <t>$\delta_Q$</t>
  </si>
  <si>
    <t>$\unit{\meter\cubed\per\second}$</t>
  </si>
  <si>
    <t>$\delta_{H_t}$</t>
  </si>
  <si>
    <t>$\delta_{H}$</t>
  </si>
  <si>
    <t>head uncertainty</t>
  </si>
  <si>
    <t>coeffient uncertainty</t>
  </si>
  <si>
    <t>$\delta_U$</t>
  </si>
  <si>
    <t>$\delta_{v_{2r}}$</t>
  </si>
  <si>
    <t>$\delta_{\Psi}$</t>
  </si>
  <si>
    <t>Corrected Head</t>
  </si>
  <si>
    <t>$\delta_{Phi}$</t>
  </si>
  <si>
    <t>Valve Configuration</t>
  </si>
  <si>
    <t>Pump Configuration</t>
  </si>
  <si>
    <t>Single</t>
  </si>
  <si>
    <t>Parallel</t>
  </si>
  <si>
    <t>Nominal Transducer Head</t>
  </si>
  <si>
    <t>$P_{V_{\text{tr1}}}$</t>
  </si>
  <si>
    <t>$P_{V_{\text{tr2}}}$</t>
  </si>
  <si>
    <t>$B_{V_{\text{tr1}}}$</t>
  </si>
  <si>
    <t>$B_{V_{\text{tr2}}}$</t>
  </si>
  <si>
    <t>Transducer Precision</t>
  </si>
  <si>
    <t>Transducer Bias</t>
  </si>
  <si>
    <t>$\delta_{V_{\text{tr1}}}$</t>
  </si>
  <si>
    <t>$\delta_{V_{\text{tr2}}}$</t>
  </si>
  <si>
    <t>Transducer Uncertainty</t>
  </si>
  <si>
    <t>$\delta_{H_t1}$</t>
  </si>
  <si>
    <t>Transducer Head Uncertainty</t>
  </si>
  <si>
    <t>$\delta_{H_t2}$</t>
  </si>
  <si>
    <t>Series</t>
  </si>
  <si>
    <t>beta_2</t>
  </si>
  <si>
    <t>cot(beta_2)</t>
  </si>
  <si>
    <t>Actual</t>
  </si>
  <si>
    <t>Theoretrical</t>
  </si>
  <si>
    <t>efficiency</t>
  </si>
  <si>
    <t>Torque</t>
  </si>
  <si>
    <t>(Nm)</t>
  </si>
  <si>
    <t>(%)</t>
  </si>
  <si>
    <t>(m$^3$/s)</t>
  </si>
  <si>
    <t>Head</t>
  </si>
  <si>
    <t>Pump Eff</t>
  </si>
  <si>
    <t>Geometrically Similar</t>
  </si>
  <si>
    <t>Yes</t>
  </si>
  <si>
    <t>No</t>
  </si>
  <si>
    <t>$w$</t>
  </si>
  <si>
    <t>$b$</t>
  </si>
  <si>
    <t>Impeller Diameter</t>
  </si>
  <si>
    <t>Impeller Speed, $U$</t>
  </si>
  <si>
    <t>Radial Exit Velocity, $v_{2r}$</t>
  </si>
  <si>
    <t>Head Coefficient, $\Psi$</t>
  </si>
  <si>
    <t>Flow Coefficient, $\Phi$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</si>
</sst>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00"/>
    <numFmt numFmtId="165" formatCode="0.0000"/>
    <numFmt numFmtId="166" formatCode="0.000"/>
    <numFmt numFmtId="167" formatCode="0.0"/>
    <numFmt numFmtId="168" formatCode="#,##0;\-#,##0;\-"/>
    <numFmt numFmtId="169" formatCode="#,##0.0;\-#,##0.0;\-"/>
    <numFmt numFmtId="170" formatCode="#,##0.00;\-#,##0.00;\-"/>
    <numFmt numFmtId="171" formatCode="#,##0.0000;\-#,##0.0000;\-"/>
    <numFmt numFmtId="172" formatCode="#,##0.00000;\-#,##0.00000;\-"/>
    <numFmt numFmtId="173" formatCode="#,##0.000000;\-#,##0.000000;\-"/>
    <numFmt numFmtId="176" formatCode="0.00000000"/>
  </numFmts>
  <fonts count="3" x14ac:knownFonts="1">
    <font>
      <sz val="10"/>
      <color rgb="FF000000"/>
      <name val="Arial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70" fontId="1" fillId="0" borderId="0" xfId="0" applyNumberFormat="1" applyFont="1" applyAlignment="1">
      <alignment horizontal="center" wrapText="1"/>
    </xf>
    <xf numFmtId="171" fontId="1" fillId="0" borderId="0" xfId="0" applyNumberFormat="1" applyFont="1" applyAlignment="1">
      <alignment horizontal="center"/>
    </xf>
    <xf numFmtId="172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3" fontId="1" fillId="0" borderId="0" xfId="0" applyNumberFormat="1" applyFont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2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7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D2BF-2435-4432-9E0F-30159E475F72}">
  <dimension ref="A1:AM65"/>
  <sheetViews>
    <sheetView topLeftCell="A10" zoomScale="130" zoomScaleNormal="130" workbookViewId="0">
      <selection activeCell="B14" sqref="B14:AI27"/>
    </sheetView>
  </sheetViews>
  <sheetFormatPr defaultColWidth="10.85546875" defaultRowHeight="15.75" x14ac:dyDescent="0.25"/>
  <cols>
    <col min="1" max="1" width="29" style="2" bestFit="1" customWidth="1"/>
    <col min="2" max="2" width="20.140625" style="2" bestFit="1" customWidth="1"/>
    <col min="3" max="3" width="12.28515625" style="3" bestFit="1" customWidth="1"/>
    <col min="4" max="4" width="9.42578125" style="3" hidden="1" customWidth="1"/>
    <col min="5" max="5" width="8.140625" style="3" hidden="1" customWidth="1"/>
    <col min="6" max="6" width="12.140625" style="3" hidden="1" customWidth="1"/>
    <col min="7" max="9" width="7.140625" style="3" hidden="1" customWidth="1"/>
    <col min="10" max="10" width="13.28515625" style="15" hidden="1" customWidth="1"/>
    <col min="11" max="11" width="15.5703125" style="3" hidden="1" customWidth="1"/>
    <col min="12" max="13" width="8.140625" style="3" hidden="1" customWidth="1"/>
    <col min="14" max="14" width="16.5703125" style="3" hidden="1" customWidth="1"/>
    <col min="15" max="15" width="10" style="3" hidden="1" customWidth="1"/>
    <col min="16" max="17" width="5.85546875" style="3" hidden="1" customWidth="1"/>
    <col min="18" max="18" width="9.140625" style="3" hidden="1" customWidth="1"/>
    <col min="19" max="19" width="8.85546875" style="3" hidden="1" customWidth="1"/>
    <col min="20" max="20" width="10.85546875" style="3"/>
    <col min="21" max="21" width="13.28515625" style="3" hidden="1" customWidth="1"/>
    <col min="22" max="23" width="10.85546875" style="3"/>
    <col min="24" max="25" width="12.7109375" style="3" bestFit="1" customWidth="1"/>
    <col min="26" max="27" width="21.5703125" style="3" hidden="1" customWidth="1"/>
    <col min="28" max="29" width="22.85546875" style="3" hidden="1" customWidth="1"/>
    <col min="30" max="30" width="14.7109375" style="3" bestFit="1" customWidth="1"/>
    <col min="31" max="31" width="14.7109375" style="3" hidden="1" customWidth="1"/>
    <col min="32" max="32" width="16.7109375" style="3" hidden="1" customWidth="1"/>
    <col min="33" max="33" width="5.85546875" style="3" hidden="1" customWidth="1"/>
    <col min="34" max="34" width="13.7109375" style="3" customWidth="1"/>
    <col min="35" max="35" width="10.7109375" style="3" bestFit="1" customWidth="1"/>
    <col min="36" max="36" width="20" style="3" bestFit="1" customWidth="1"/>
    <col min="37" max="37" width="14.85546875" style="3" bestFit="1" customWidth="1"/>
    <col min="38" max="38" width="14.5703125" style="3" bestFit="1" customWidth="1"/>
    <col min="39" max="39" width="10.85546875" style="3"/>
    <col min="40" max="16384" width="10.85546875" style="2"/>
  </cols>
  <sheetData>
    <row r="1" spans="1:39" x14ac:dyDescent="0.25">
      <c r="A1" s="1" t="s">
        <v>1</v>
      </c>
      <c r="B1" s="2">
        <v>5</v>
      </c>
      <c r="C1" s="3" t="s">
        <v>2</v>
      </c>
    </row>
    <row r="2" spans="1:39" x14ac:dyDescent="0.25">
      <c r="A2" s="1" t="s">
        <v>3</v>
      </c>
      <c r="B2" s="2">
        <v>998</v>
      </c>
      <c r="C2" s="3" t="s">
        <v>4</v>
      </c>
    </row>
    <row r="3" spans="1:39" x14ac:dyDescent="0.25">
      <c r="A3" s="1" t="s">
        <v>5</v>
      </c>
      <c r="B3" s="2">
        <v>200</v>
      </c>
      <c r="C3" s="3" t="s">
        <v>6</v>
      </c>
      <c r="D3" s="3">
        <v>90.718500000000006</v>
      </c>
      <c r="E3" s="3" t="s">
        <v>18</v>
      </c>
    </row>
    <row r="4" spans="1:39" x14ac:dyDescent="0.25">
      <c r="A4" s="1" t="s">
        <v>17</v>
      </c>
      <c r="B4" s="2">
        <v>1.502</v>
      </c>
      <c r="C4" s="3" t="s">
        <v>18</v>
      </c>
    </row>
    <row r="5" spans="1:39" x14ac:dyDescent="0.25">
      <c r="A5" s="1" t="s">
        <v>25</v>
      </c>
      <c r="B5" s="2">
        <f>50.8*10^(-3)</f>
        <v>5.0799999999999998E-2</v>
      </c>
      <c r="C5" s="3" t="s">
        <v>35</v>
      </c>
    </row>
    <row r="6" spans="1:39" x14ac:dyDescent="0.25">
      <c r="A6" s="1" t="s">
        <v>26</v>
      </c>
      <c r="B6" s="2">
        <f>38.1*10^(-3)</f>
        <v>3.8100000000000002E-2</v>
      </c>
      <c r="C6" s="3" t="s">
        <v>35</v>
      </c>
    </row>
    <row r="7" spans="1:39" x14ac:dyDescent="0.25">
      <c r="A7" s="1" t="s">
        <v>30</v>
      </c>
      <c r="B7" s="2">
        <v>0.108</v>
      </c>
      <c r="C7" s="3" t="s">
        <v>35</v>
      </c>
      <c r="J7" s="15">
        <f>0.108/2</f>
        <v>5.3999999999999999E-2</v>
      </c>
    </row>
    <row r="8" spans="1:39" x14ac:dyDescent="0.25">
      <c r="A8" s="1" t="s">
        <v>34</v>
      </c>
      <c r="B8" s="2">
        <f>9*10^(-3)</f>
        <v>9.0000000000000011E-3</v>
      </c>
      <c r="C8" s="3" t="s">
        <v>35</v>
      </c>
    </row>
    <row r="9" spans="1:39" x14ac:dyDescent="0.25">
      <c r="A9" s="1" t="s">
        <v>36</v>
      </c>
      <c r="B9" s="2">
        <v>8.5000000000000006E-3</v>
      </c>
      <c r="C9" s="3" t="s">
        <v>35</v>
      </c>
    </row>
    <row r="10" spans="1:39" ht="15.75" customHeight="1" x14ac:dyDescent="0.25">
      <c r="A10" s="1" t="s">
        <v>32</v>
      </c>
      <c r="B10" s="2">
        <v>5</v>
      </c>
    </row>
    <row r="11" spans="1:39" x14ac:dyDescent="0.25">
      <c r="M11" s="11"/>
      <c r="N11" s="11"/>
    </row>
    <row r="12" spans="1:39" x14ac:dyDescent="0.25">
      <c r="B12" s="4"/>
      <c r="M12" s="11"/>
      <c r="N12" s="11"/>
      <c r="Y12" s="3" t="s">
        <v>54</v>
      </c>
      <c r="AK12" s="3" t="s">
        <v>55</v>
      </c>
    </row>
    <row r="13" spans="1:39" ht="15.75" customHeight="1" x14ac:dyDescent="0.25">
      <c r="D13" s="32" t="s">
        <v>7</v>
      </c>
      <c r="E13" s="32"/>
      <c r="G13" s="33" t="s">
        <v>9</v>
      </c>
      <c r="H13" s="33"/>
      <c r="I13" s="33"/>
      <c r="L13" s="32" t="s">
        <v>24</v>
      </c>
      <c r="M13" s="32"/>
      <c r="R13" s="3" t="s">
        <v>40</v>
      </c>
      <c r="S13" s="23" t="s">
        <v>41</v>
      </c>
      <c r="Z13" s="33" t="s">
        <v>70</v>
      </c>
      <c r="AA13" s="33"/>
      <c r="AB13" s="33" t="s">
        <v>71</v>
      </c>
      <c r="AC13" s="33"/>
      <c r="AD13" s="33" t="s">
        <v>74</v>
      </c>
      <c r="AE13" s="33"/>
      <c r="AF13" s="33" t="s">
        <v>76</v>
      </c>
      <c r="AG13" s="33"/>
    </row>
    <row r="14" spans="1:39" s="16" customFormat="1" ht="63" x14ac:dyDescent="0.25">
      <c r="A14" s="16" t="s">
        <v>62</v>
      </c>
      <c r="B14" s="12" t="s">
        <v>61</v>
      </c>
      <c r="C14" s="11" t="s">
        <v>14</v>
      </c>
      <c r="D14" s="17" t="s">
        <v>20</v>
      </c>
      <c r="E14" s="11" t="s">
        <v>21</v>
      </c>
      <c r="F14" s="11" t="s">
        <v>8</v>
      </c>
      <c r="G14" s="34" t="s">
        <v>16</v>
      </c>
      <c r="H14" s="34"/>
      <c r="I14" s="34"/>
      <c r="J14" s="18" t="s">
        <v>23</v>
      </c>
      <c r="K14" s="11" t="s">
        <v>22</v>
      </c>
      <c r="L14" s="17" t="s">
        <v>20</v>
      </c>
      <c r="M14" s="11" t="s">
        <v>21</v>
      </c>
      <c r="N14" s="11" t="s">
        <v>65</v>
      </c>
      <c r="O14" s="11" t="s">
        <v>59</v>
      </c>
      <c r="P14" s="11" t="s">
        <v>27</v>
      </c>
      <c r="Q14" s="11" t="s">
        <v>33</v>
      </c>
      <c r="R14" s="17" t="s">
        <v>38</v>
      </c>
      <c r="S14" s="24" t="s">
        <v>37</v>
      </c>
      <c r="T14" s="17" t="s">
        <v>45</v>
      </c>
      <c r="U14" s="17" t="s">
        <v>46</v>
      </c>
      <c r="V14" s="17" t="s">
        <v>47</v>
      </c>
      <c r="W14" s="17" t="s">
        <v>48</v>
      </c>
      <c r="X14" s="17" t="s">
        <v>49</v>
      </c>
      <c r="Y14" s="17" t="s">
        <v>50</v>
      </c>
      <c r="Z14" s="17" t="s">
        <v>66</v>
      </c>
      <c r="AA14" s="17" t="s">
        <v>67</v>
      </c>
      <c r="AB14" s="17" t="s">
        <v>68</v>
      </c>
      <c r="AC14" s="17" t="s">
        <v>69</v>
      </c>
      <c r="AD14" s="17" t="s">
        <v>72</v>
      </c>
      <c r="AE14" s="17" t="s">
        <v>73</v>
      </c>
      <c r="AF14" s="17" t="s">
        <v>75</v>
      </c>
      <c r="AG14" s="17" t="s">
        <v>77</v>
      </c>
      <c r="AH14" s="17" t="s">
        <v>52</v>
      </c>
      <c r="AI14" s="24" t="s">
        <v>53</v>
      </c>
      <c r="AJ14" s="17" t="s">
        <v>56</v>
      </c>
      <c r="AK14" s="17" t="s">
        <v>57</v>
      </c>
      <c r="AL14" s="17" t="s">
        <v>58</v>
      </c>
      <c r="AM14" s="17" t="s">
        <v>60</v>
      </c>
    </row>
    <row r="15" spans="1:39" x14ac:dyDescent="0.25">
      <c r="B15" s="3"/>
      <c r="C15" s="3" t="s">
        <v>19</v>
      </c>
      <c r="D15" s="3" t="s">
        <v>0</v>
      </c>
      <c r="E15" s="3" t="s">
        <v>0</v>
      </c>
      <c r="F15" s="3" t="s">
        <v>15</v>
      </c>
      <c r="G15" s="3" t="s">
        <v>42</v>
      </c>
      <c r="H15" s="3" t="s">
        <v>43</v>
      </c>
      <c r="I15" s="3" t="s">
        <v>44</v>
      </c>
      <c r="J15" s="15" t="s">
        <v>16</v>
      </c>
      <c r="K15" s="3" t="s">
        <v>28</v>
      </c>
      <c r="L15" s="3" t="s">
        <v>29</v>
      </c>
      <c r="M15" s="11" t="s">
        <v>29</v>
      </c>
      <c r="N15" s="11" t="s">
        <v>29</v>
      </c>
      <c r="O15" s="3" t="s">
        <v>29</v>
      </c>
      <c r="P15" s="3" t="s">
        <v>31</v>
      </c>
      <c r="Q15" s="3" t="s">
        <v>31</v>
      </c>
      <c r="S15" s="23"/>
      <c r="T15" s="3" t="s">
        <v>16</v>
      </c>
      <c r="V15" s="3" t="s">
        <v>16</v>
      </c>
      <c r="W15" s="3" t="s">
        <v>16</v>
      </c>
      <c r="X15" s="3" t="s">
        <v>16</v>
      </c>
      <c r="Y15" s="3" t="s">
        <v>51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29</v>
      </c>
      <c r="AG15" s="3" t="s">
        <v>29</v>
      </c>
      <c r="AH15" s="3" t="s">
        <v>29</v>
      </c>
      <c r="AI15" s="23" t="s">
        <v>29</v>
      </c>
      <c r="AJ15" s="3" t="s">
        <v>31</v>
      </c>
      <c r="AK15" s="3" t="s">
        <v>31</v>
      </c>
    </row>
    <row r="16" spans="1:39" x14ac:dyDescent="0.25">
      <c r="A16" s="2" t="s">
        <v>63</v>
      </c>
      <c r="B16" s="1" t="s">
        <v>10</v>
      </c>
      <c r="C16" s="3">
        <v>1800</v>
      </c>
      <c r="D16" s="7">
        <v>0.72</v>
      </c>
      <c r="E16" s="13">
        <v>0</v>
      </c>
      <c r="F16" s="7">
        <v>8.75</v>
      </c>
      <c r="G16" s="7">
        <v>28.27</v>
      </c>
      <c r="H16" s="7">
        <v>28.33</v>
      </c>
      <c r="I16" s="7">
        <v>28.47</v>
      </c>
      <c r="J16" s="15">
        <f>AVERAGE(G16:I16)</f>
        <v>28.356666666666666</v>
      </c>
      <c r="K16" s="9">
        <f>$D$3/$B$2/J16</f>
        <v>3.2056059927542875E-3</v>
      </c>
      <c r="L16" s="7">
        <f>5*D16/($B$2*9.81)*6894.76</f>
        <v>2.5352576713059145</v>
      </c>
      <c r="M16" s="13">
        <f>5*E16/($B$2*9.81)*6894.76</f>
        <v>0</v>
      </c>
      <c r="N16" s="7">
        <f>IF(M16=0, L16, AVERAGE(L16:M16))</f>
        <v>2.5352576713059145</v>
      </c>
      <c r="O16" s="7">
        <f>N16+8*K16^2/(PI()^2*$B$6^4*9.81)*(1-($B$6/$B$5)^4)</f>
        <v>2.8107057183583408</v>
      </c>
      <c r="P16" s="8">
        <f t="shared" ref="P16:P30" si="0">$B$7/2*2*PI()/60*C16</f>
        <v>10.178760197630929</v>
      </c>
      <c r="Q16" s="8">
        <f t="shared" ref="Q16:Q31" si="1">K16/($B$8*(2*PI()*$B$7/2-$B$10*$B$9))</f>
        <v>1.2000944625647112</v>
      </c>
      <c r="R16" s="22">
        <f>O16*9.81/P16^2</f>
        <v>0.26613048094757064</v>
      </c>
      <c r="S16" s="25">
        <f>Q16/P16</f>
        <v>0.11790183079900331</v>
      </c>
      <c r="T16" s="19">
        <f>_xlfn.STDEV.S(G16:I16)</f>
        <v>0.10263202878893746</v>
      </c>
      <c r="U16" s="3">
        <f>-_xlfn.T.INV(0.025, 2)</f>
        <v>4.3026527297494637</v>
      </c>
      <c r="V16" s="19">
        <f>T16*U16/SQRT(COUNT(G16:I16))</f>
        <v>0.25495209314804523</v>
      </c>
      <c r="W16" s="3">
        <v>0.1</v>
      </c>
      <c r="X16" s="15">
        <f>SQRT(V16^2+W16^2)</f>
        <v>0.27386231905935787</v>
      </c>
      <c r="Y16" s="21">
        <f>IFERROR(K16*(X16/J16), 0)</f>
        <v>3.0959022845877431E-5</v>
      </c>
      <c r="Z16" s="15">
        <v>0</v>
      </c>
      <c r="AA16" s="15">
        <v>0</v>
      </c>
      <c r="AB16" s="3">
        <v>0.01</v>
      </c>
      <c r="AC16" s="3">
        <v>0.01</v>
      </c>
      <c r="AD16" s="3">
        <f>SQRT(Z16^2+AB16^2)</f>
        <v>0.01</v>
      </c>
      <c r="AE16" s="3">
        <f>SQRT(AA16^2+AC16^2)</f>
        <v>0.01</v>
      </c>
      <c r="AF16" s="15">
        <f>L16*AD16/D16</f>
        <v>3.5211912101471038E-2</v>
      </c>
      <c r="AG16" s="15">
        <f>M16*AE16</f>
        <v>0</v>
      </c>
      <c r="AH16" s="15">
        <f>AF16</f>
        <v>3.5211912101471038E-2</v>
      </c>
      <c r="AI16" s="15">
        <f t="shared" ref="AI16:AI26" si="2">SQRT(AH16^2+(16*K16/(PI()^2*$B$6^4*9.81)*(1-($B$6/$B$5)^(4))*Y16)^2)</f>
        <v>3.5611595547366523E-2</v>
      </c>
      <c r="AJ16" s="3">
        <v>0</v>
      </c>
      <c r="AK16" s="22">
        <f>IFERROR(Q16*Y16/K16, 0)</f>
        <v>1.1590242833252575E-2</v>
      </c>
      <c r="AL16" s="22">
        <f>R16*AI16/O16</f>
        <v>3.371868847182791E-3</v>
      </c>
      <c r="AM16" s="19">
        <f>IFERROR(S16*AK16/Q16, 0)</f>
        <v>1.1386694065108405E-3</v>
      </c>
    </row>
    <row r="17" spans="1:39" x14ac:dyDescent="0.25">
      <c r="A17" s="2" t="s">
        <v>63</v>
      </c>
      <c r="B17" s="1" t="s">
        <v>11</v>
      </c>
      <c r="C17" s="3">
        <v>1800</v>
      </c>
      <c r="D17" s="7">
        <v>0.86</v>
      </c>
      <c r="E17" s="13">
        <v>0</v>
      </c>
      <c r="F17" s="7">
        <v>8.6</v>
      </c>
      <c r="G17" s="7">
        <v>30.46</v>
      </c>
      <c r="H17" s="7">
        <v>30.6</v>
      </c>
      <c r="I17" s="7">
        <v>30.78</v>
      </c>
      <c r="J17" s="15">
        <f t="shared" ref="J17:J35" si="3">AVERAGE(G17:I17)</f>
        <v>30.613333333333333</v>
      </c>
      <c r="K17" s="9">
        <f>$D$3/$B$2/J17</f>
        <v>2.9693042443772566E-3</v>
      </c>
      <c r="L17" s="7">
        <f t="shared" ref="L17:M30" si="4">5*D17/($B$2*9.81)*6894.76</f>
        <v>3.0282244407265089</v>
      </c>
      <c r="M17" s="13">
        <f t="shared" si="4"/>
        <v>0</v>
      </c>
      <c r="N17" s="7">
        <f t="shared" ref="N17:N31" si="5">IF(M17=0, L17, AVERAGE(L17:M17))</f>
        <v>3.0282244407265089</v>
      </c>
      <c r="O17" s="7">
        <f t="shared" ref="O17:O27" si="6">N17+8*K17^2/(PI()^2*$B$6^4*9.81)*(1-($B$6/$B$5)^4)</f>
        <v>3.2645598596721812</v>
      </c>
      <c r="P17" s="8">
        <f t="shared" si="0"/>
        <v>10.178760197630929</v>
      </c>
      <c r="Q17" s="8">
        <f t="shared" si="1"/>
        <v>1.1116293110886322</v>
      </c>
      <c r="R17" s="22">
        <f t="shared" ref="R17:R35" si="7">O17*9.81/P17^2</f>
        <v>0.30910346816533096</v>
      </c>
      <c r="S17" s="25">
        <f t="shared" ref="S17:S35" si="8">Q17/P17</f>
        <v>0.109210678855305</v>
      </c>
      <c r="T17" s="19">
        <f t="shared" ref="T17:T35" si="9">_xlfn.STDEV.S(G17:I17)</f>
        <v>0.16041612554021298</v>
      </c>
      <c r="U17" s="3">
        <f t="shared" ref="U17:U49" si="10">-_xlfn.T.INV(0.025, 2)</f>
        <v>4.3026527297494637</v>
      </c>
      <c r="V17" s="19">
        <f t="shared" ref="V17:V35" si="11">T17*U17/SQRT(COUNT(G17:I17))</f>
        <v>0.39849574702731849</v>
      </c>
      <c r="W17" s="3">
        <v>0.1</v>
      </c>
      <c r="X17" s="15">
        <f t="shared" ref="X17:X35" si="12">SQRT(V17^2+W17^2)</f>
        <v>0.41085138480825478</v>
      </c>
      <c r="Y17" s="21">
        <f t="shared" ref="Y17:Y35" si="13">IFERROR(K17*(X17/J17), 0)</f>
        <v>3.9850046626287818E-5</v>
      </c>
      <c r="Z17" s="15">
        <v>0</v>
      </c>
      <c r="AA17" s="15">
        <v>0</v>
      </c>
      <c r="AB17" s="3">
        <v>0.01</v>
      </c>
      <c r="AC17" s="3">
        <v>0.01</v>
      </c>
      <c r="AD17" s="3">
        <f t="shared" ref="AD17:AE31" si="14">SQRT(Z17^2+AB17^2)</f>
        <v>0.01</v>
      </c>
      <c r="AE17" s="3">
        <f t="shared" si="14"/>
        <v>0.01</v>
      </c>
      <c r="AF17" s="15">
        <f>L17*AD17/D17</f>
        <v>3.5211912101471038E-2</v>
      </c>
      <c r="AG17" s="15">
        <f t="shared" ref="AG17:AG27" si="15">M17*AE17</f>
        <v>0</v>
      </c>
      <c r="AH17" s="15">
        <f t="shared" ref="AH17:AH27" si="16">AF17</f>
        <v>3.5211912101471038E-2</v>
      </c>
      <c r="AI17" s="15">
        <f t="shared" si="2"/>
        <v>3.5778757485663976E-2</v>
      </c>
      <c r="AJ17" s="3">
        <v>0</v>
      </c>
      <c r="AK17" s="22">
        <f t="shared" ref="AK17:AK35" si="17">IFERROR(Q17*Y17/K17, 0)</f>
        <v>1.4918807987397999E-2</v>
      </c>
      <c r="AL17" s="22">
        <f t="shared" ref="AL17:AL35" si="18">R17*AI17/O17</f>
        <v>3.3876965045375462E-3</v>
      </c>
      <c r="AM17" s="19">
        <f t="shared" ref="AM17:AM35" si="19">IFERROR(S17*AK17/Q17, 0)</f>
        <v>1.4656802692797793E-3</v>
      </c>
    </row>
    <row r="18" spans="1:39" x14ac:dyDescent="0.25">
      <c r="A18" s="2" t="s">
        <v>63</v>
      </c>
      <c r="B18" s="1" t="s">
        <v>12</v>
      </c>
      <c r="C18" s="3">
        <v>1800</v>
      </c>
      <c r="D18" s="7">
        <v>1.39</v>
      </c>
      <c r="E18" s="13">
        <v>0</v>
      </c>
      <c r="F18" s="7">
        <v>8</v>
      </c>
      <c r="G18" s="7">
        <v>56.76</v>
      </c>
      <c r="H18" s="7">
        <v>55.3</v>
      </c>
      <c r="I18" s="7">
        <v>56.57</v>
      </c>
      <c r="J18" s="15">
        <f t="shared" si="3"/>
        <v>56.21</v>
      </c>
      <c r="K18" s="9">
        <f>$D$3/$B$2/J18</f>
        <v>1.6171553211386303E-3</v>
      </c>
      <c r="L18" s="7">
        <f t="shared" si="4"/>
        <v>4.8944557821044725</v>
      </c>
      <c r="M18" s="13">
        <f t="shared" si="4"/>
        <v>0</v>
      </c>
      <c r="N18" s="7">
        <f t="shared" si="5"/>
        <v>4.8944557821044725</v>
      </c>
      <c r="O18" s="7">
        <f t="shared" si="6"/>
        <v>4.9645565673998284</v>
      </c>
      <c r="P18" s="8">
        <f t="shared" si="0"/>
        <v>10.178760197630929</v>
      </c>
      <c r="Q18" s="7">
        <f t="shared" si="1"/>
        <v>0.60542036369791841</v>
      </c>
      <c r="R18" s="22">
        <f t="shared" si="7"/>
        <v>0.47006693669276278</v>
      </c>
      <c r="S18" s="25">
        <f t="shared" si="8"/>
        <v>5.9478792303096786E-2</v>
      </c>
      <c r="T18" s="19">
        <f t="shared" si="9"/>
        <v>0.79378838489864645</v>
      </c>
      <c r="U18" s="3">
        <f t="shared" si="10"/>
        <v>4.3026527297494637</v>
      </c>
      <c r="V18" s="19">
        <f t="shared" si="11"/>
        <v>1.9718796620761145</v>
      </c>
      <c r="W18" s="3">
        <v>0.1</v>
      </c>
      <c r="X18" s="15">
        <f t="shared" si="12"/>
        <v>1.9744136855556413</v>
      </c>
      <c r="Y18" s="21">
        <f t="shared" si="13"/>
        <v>5.680365767168191E-5</v>
      </c>
      <c r="Z18" s="15">
        <v>0</v>
      </c>
      <c r="AA18" s="15">
        <v>0</v>
      </c>
      <c r="AB18" s="3">
        <v>0.01</v>
      </c>
      <c r="AC18" s="3">
        <v>0.01</v>
      </c>
      <c r="AD18" s="3">
        <f t="shared" si="14"/>
        <v>0.01</v>
      </c>
      <c r="AE18" s="3">
        <f t="shared" si="14"/>
        <v>0.01</v>
      </c>
      <c r="AF18" s="15">
        <f t="shared" ref="AF18:AF27" si="20">L18*AD18/D18</f>
        <v>3.5211912101471031E-2</v>
      </c>
      <c r="AG18" s="15">
        <f t="shared" si="15"/>
        <v>0</v>
      </c>
      <c r="AH18" s="15">
        <f t="shared" si="16"/>
        <v>3.5211912101471031E-2</v>
      </c>
      <c r="AI18" s="15">
        <f t="shared" si="2"/>
        <v>3.5554622249745267E-2</v>
      </c>
      <c r="AJ18" s="3">
        <v>0</v>
      </c>
      <c r="AK18" s="10">
        <f t="shared" si="17"/>
        <v>2.1265793481573453E-2</v>
      </c>
      <c r="AL18" s="22">
        <f t="shared" si="18"/>
        <v>3.3664743546188486E-3</v>
      </c>
      <c r="AM18" s="19">
        <f t="shared" si="19"/>
        <v>2.08923219219989E-3</v>
      </c>
    </row>
    <row r="19" spans="1:39" x14ac:dyDescent="0.25">
      <c r="A19" s="2" t="s">
        <v>63</v>
      </c>
      <c r="B19" s="1" t="s">
        <v>13</v>
      </c>
      <c r="C19" s="3">
        <v>1800</v>
      </c>
      <c r="D19" s="7">
        <v>1.54</v>
      </c>
      <c r="E19" s="13">
        <v>0</v>
      </c>
      <c r="F19" s="7">
        <v>5.25</v>
      </c>
      <c r="G19" s="13">
        <v>0</v>
      </c>
      <c r="H19" s="13">
        <v>0</v>
      </c>
      <c r="I19" s="13">
        <v>0</v>
      </c>
      <c r="J19" s="15">
        <f t="shared" si="3"/>
        <v>0</v>
      </c>
      <c r="K19" s="13">
        <v>0</v>
      </c>
      <c r="L19" s="7">
        <f t="shared" si="4"/>
        <v>5.4226344636265393</v>
      </c>
      <c r="M19" s="13">
        <f t="shared" si="4"/>
        <v>0</v>
      </c>
      <c r="N19" s="7">
        <f t="shared" si="5"/>
        <v>5.4226344636265393</v>
      </c>
      <c r="O19" s="7">
        <f t="shared" si="6"/>
        <v>5.4226344636265393</v>
      </c>
      <c r="P19" s="8">
        <f t="shared" si="0"/>
        <v>10.178760197630929</v>
      </c>
      <c r="Q19" s="7">
        <f t="shared" si="1"/>
        <v>0</v>
      </c>
      <c r="R19" s="22">
        <f t="shared" si="7"/>
        <v>0.51343984835619705</v>
      </c>
      <c r="S19" s="25">
        <f t="shared" si="8"/>
        <v>0</v>
      </c>
      <c r="T19" s="19">
        <f t="shared" si="9"/>
        <v>0</v>
      </c>
      <c r="U19" s="3">
        <f t="shared" si="10"/>
        <v>4.3026527297494637</v>
      </c>
      <c r="V19" s="19">
        <f t="shared" si="11"/>
        <v>0</v>
      </c>
      <c r="W19" s="19">
        <v>0</v>
      </c>
      <c r="X19" s="15">
        <f t="shared" si="12"/>
        <v>0</v>
      </c>
      <c r="Y19" s="15">
        <f t="shared" si="13"/>
        <v>0</v>
      </c>
      <c r="Z19" s="15">
        <v>0</v>
      </c>
      <c r="AA19" s="15">
        <v>0</v>
      </c>
      <c r="AB19" s="3">
        <v>0.01</v>
      </c>
      <c r="AC19" s="3">
        <v>0.01</v>
      </c>
      <c r="AD19" s="3">
        <f t="shared" si="14"/>
        <v>0.01</v>
      </c>
      <c r="AE19" s="3">
        <f t="shared" si="14"/>
        <v>0.01</v>
      </c>
      <c r="AF19" s="15">
        <f t="shared" si="20"/>
        <v>3.5211912101471038E-2</v>
      </c>
      <c r="AG19" s="15">
        <f t="shared" si="15"/>
        <v>0</v>
      </c>
      <c r="AH19" s="15">
        <f t="shared" si="16"/>
        <v>3.5211912101471038E-2</v>
      </c>
      <c r="AI19" s="15">
        <f t="shared" si="2"/>
        <v>3.5211912101471038E-2</v>
      </c>
      <c r="AJ19" s="3">
        <v>0</v>
      </c>
      <c r="AK19" s="15">
        <f t="shared" si="17"/>
        <v>0</v>
      </c>
      <c r="AL19" s="22">
        <f t="shared" si="18"/>
        <v>3.334024989325955E-3</v>
      </c>
      <c r="AM19" s="19">
        <f t="shared" si="19"/>
        <v>0</v>
      </c>
    </row>
    <row r="20" spans="1:39" x14ac:dyDescent="0.25">
      <c r="A20" s="2" t="s">
        <v>63</v>
      </c>
      <c r="B20" s="1" t="s">
        <v>10</v>
      </c>
      <c r="C20" s="3">
        <v>2700</v>
      </c>
      <c r="D20" s="7">
        <v>1.47</v>
      </c>
      <c r="E20" s="13">
        <v>0</v>
      </c>
      <c r="F20" s="7">
        <v>16.5</v>
      </c>
      <c r="G20" s="7">
        <v>18.37</v>
      </c>
      <c r="H20" s="7">
        <v>18.45</v>
      </c>
      <c r="I20" s="7">
        <v>18.350000000000001</v>
      </c>
      <c r="J20" s="15">
        <f t="shared" si="3"/>
        <v>18.39</v>
      </c>
      <c r="K20" s="9">
        <f>$D$3/$B$2/J20</f>
        <v>4.9429200979446662E-3</v>
      </c>
      <c r="L20" s="7">
        <f t="shared" si="4"/>
        <v>5.1761510789162415</v>
      </c>
      <c r="M20" s="13">
        <f t="shared" si="4"/>
        <v>0</v>
      </c>
      <c r="N20" s="7">
        <f t="shared" si="5"/>
        <v>5.1761510789162415</v>
      </c>
      <c r="O20" s="7">
        <f t="shared" si="6"/>
        <v>5.8310685787662226</v>
      </c>
      <c r="P20" s="8">
        <f t="shared" si="0"/>
        <v>15.268140296446393</v>
      </c>
      <c r="Q20" s="8">
        <f t="shared" si="1"/>
        <v>1.8504991105742248</v>
      </c>
      <c r="R20" s="22">
        <f t="shared" si="7"/>
        <v>0.24538322650025129</v>
      </c>
      <c r="S20" s="25">
        <f t="shared" si="8"/>
        <v>0.12120003318314557</v>
      </c>
      <c r="T20" s="19">
        <f t="shared" si="9"/>
        <v>5.2915026221290684E-2</v>
      </c>
      <c r="U20" s="3">
        <f t="shared" si="10"/>
        <v>4.3026527297494637</v>
      </c>
      <c r="V20" s="19">
        <f t="shared" si="11"/>
        <v>0.13144821215456581</v>
      </c>
      <c r="W20" s="3">
        <v>0.1</v>
      </c>
      <c r="X20" s="15">
        <f t="shared" si="12"/>
        <v>0.16516244270000291</v>
      </c>
      <c r="Y20" s="21">
        <f t="shared" si="13"/>
        <v>4.4392863373979268E-5</v>
      </c>
      <c r="Z20" s="15">
        <v>0</v>
      </c>
      <c r="AA20" s="15">
        <v>0</v>
      </c>
      <c r="AB20" s="3">
        <v>0.01</v>
      </c>
      <c r="AC20" s="3">
        <v>0.01</v>
      </c>
      <c r="AD20" s="3">
        <f t="shared" si="14"/>
        <v>0.01</v>
      </c>
      <c r="AE20" s="3">
        <f t="shared" si="14"/>
        <v>0.01</v>
      </c>
      <c r="AF20" s="15">
        <f t="shared" si="20"/>
        <v>3.5211912101471031E-2</v>
      </c>
      <c r="AG20" s="15">
        <f t="shared" si="15"/>
        <v>0</v>
      </c>
      <c r="AH20" s="15">
        <f t="shared" si="16"/>
        <v>3.5211912101471031E-2</v>
      </c>
      <c r="AI20" s="15">
        <f>SQRT(AH20^2+(16*K20/(PI()^2*$B$6^4*9.81)*(1-($B$6/$B$5)^(4))*Y20)^2)</f>
        <v>3.7124988960729514E-2</v>
      </c>
      <c r="AJ20" s="3">
        <v>0</v>
      </c>
      <c r="AK20" s="22">
        <f t="shared" si="17"/>
        <v>1.6619518940544958E-2</v>
      </c>
      <c r="AL20" s="22">
        <f t="shared" si="18"/>
        <v>1.562295049683251E-3</v>
      </c>
      <c r="AM20" s="19">
        <f t="shared" si="19"/>
        <v>1.0885097083115679E-3</v>
      </c>
    </row>
    <row r="21" spans="1:39" x14ac:dyDescent="0.25">
      <c r="A21" s="2" t="s">
        <v>63</v>
      </c>
      <c r="B21" s="1" t="s">
        <v>11</v>
      </c>
      <c r="C21" s="3">
        <v>2700</v>
      </c>
      <c r="D21" s="7">
        <v>2.06</v>
      </c>
      <c r="E21" s="13">
        <v>0</v>
      </c>
      <c r="F21" s="7">
        <v>16</v>
      </c>
      <c r="G21" s="7">
        <v>21.03</v>
      </c>
      <c r="H21" s="7">
        <v>20.71</v>
      </c>
      <c r="I21" s="7">
        <v>21.6</v>
      </c>
      <c r="J21" s="15">
        <f t="shared" si="3"/>
        <v>21.113333333333333</v>
      </c>
      <c r="K21" s="9">
        <f>$D$3/$B$2/J21</f>
        <v>4.3053505178971777E-3</v>
      </c>
      <c r="L21" s="7">
        <f t="shared" si="4"/>
        <v>7.2536538929030332</v>
      </c>
      <c r="M21" s="13">
        <f t="shared" si="4"/>
        <v>0</v>
      </c>
      <c r="N21" s="7">
        <f t="shared" si="5"/>
        <v>7.2536538929030332</v>
      </c>
      <c r="O21" s="7">
        <f t="shared" si="6"/>
        <v>7.7505166501601508</v>
      </c>
      <c r="P21" s="8">
        <f t="shared" si="0"/>
        <v>15.268140296446393</v>
      </c>
      <c r="Q21" s="8">
        <f t="shared" si="1"/>
        <v>1.6118098504954212</v>
      </c>
      <c r="R21" s="22">
        <f t="shared" si="7"/>
        <v>0.32615750560467993</v>
      </c>
      <c r="S21" s="25">
        <f t="shared" si="8"/>
        <v>0.10556687449817083</v>
      </c>
      <c r="T21" s="19">
        <f t="shared" si="9"/>
        <v>0.4508140784551139</v>
      </c>
      <c r="U21" s="3">
        <f t="shared" si="10"/>
        <v>4.3026527297494637</v>
      </c>
      <c r="V21" s="19">
        <f t="shared" si="11"/>
        <v>1.1198842532783209</v>
      </c>
      <c r="W21" s="3">
        <v>0.1</v>
      </c>
      <c r="X21" s="15">
        <f t="shared" si="12"/>
        <v>1.1243401356977087</v>
      </c>
      <c r="Y21" s="21">
        <f t="shared" si="13"/>
        <v>2.2927115813950333E-4</v>
      </c>
      <c r="Z21" s="15">
        <v>0</v>
      </c>
      <c r="AA21" s="15">
        <v>0</v>
      </c>
      <c r="AB21" s="3">
        <v>0.01</v>
      </c>
      <c r="AC21" s="3">
        <v>0.01</v>
      </c>
      <c r="AD21" s="3">
        <f t="shared" si="14"/>
        <v>0.01</v>
      </c>
      <c r="AE21" s="3">
        <f t="shared" si="14"/>
        <v>0.01</v>
      </c>
      <c r="AF21" s="15">
        <f t="shared" si="20"/>
        <v>3.5211912101471038E-2</v>
      </c>
      <c r="AG21" s="15">
        <f t="shared" si="15"/>
        <v>0</v>
      </c>
      <c r="AH21" s="15">
        <f t="shared" si="16"/>
        <v>3.5211912101471038E-2</v>
      </c>
      <c r="AI21" s="15">
        <f t="shared" si="2"/>
        <v>6.3562914812840057E-2</v>
      </c>
      <c r="AJ21" s="3">
        <v>0</v>
      </c>
      <c r="AK21" s="22">
        <f t="shared" si="17"/>
        <v>8.5833083645007524E-2</v>
      </c>
      <c r="AL21" s="22">
        <f t="shared" si="18"/>
        <v>2.6748567456971136E-3</v>
      </c>
      <c r="AM21" s="19">
        <f t="shared" si="19"/>
        <v>5.621711746058875E-3</v>
      </c>
    </row>
    <row r="22" spans="1:39" x14ac:dyDescent="0.25">
      <c r="A22" s="2" t="s">
        <v>63</v>
      </c>
      <c r="B22" s="1" t="s">
        <v>12</v>
      </c>
      <c r="C22" s="3">
        <v>2700</v>
      </c>
      <c r="D22" s="7">
        <v>3.21</v>
      </c>
      <c r="E22" s="13">
        <v>0</v>
      </c>
      <c r="F22" s="7">
        <v>14</v>
      </c>
      <c r="G22" s="7">
        <v>40.72</v>
      </c>
      <c r="H22" s="7">
        <v>40.770000000000003</v>
      </c>
      <c r="I22" s="7">
        <v>40.68</v>
      </c>
      <c r="J22" s="15">
        <f t="shared" si="3"/>
        <v>40.723333333333336</v>
      </c>
      <c r="K22" s="9">
        <f>$D$3/$B$2/J22</f>
        <v>2.2321429303724907E-3</v>
      </c>
      <c r="L22" s="7">
        <f t="shared" si="4"/>
        <v>11.303023784572202</v>
      </c>
      <c r="M22" s="13">
        <f t="shared" si="4"/>
        <v>0</v>
      </c>
      <c r="N22" s="7">
        <f t="shared" si="5"/>
        <v>11.303023784572202</v>
      </c>
      <c r="O22" s="8">
        <f t="shared" si="6"/>
        <v>11.436579788241138</v>
      </c>
      <c r="P22" s="8">
        <f t="shared" si="0"/>
        <v>15.268140296446393</v>
      </c>
      <c r="Q22" s="7">
        <f t="shared" si="1"/>
        <v>0.83565552861078796</v>
      </c>
      <c r="R22" s="22">
        <f t="shared" si="7"/>
        <v>0.48127454010495568</v>
      </c>
      <c r="S22" s="25">
        <f t="shared" si="8"/>
        <v>5.4731978642171886E-2</v>
      </c>
      <c r="T22" s="19">
        <f t="shared" si="9"/>
        <v>4.5092497528230739E-2</v>
      </c>
      <c r="U22" s="3">
        <f t="shared" si="10"/>
        <v>4.3026527297494637</v>
      </c>
      <c r="V22" s="19">
        <f t="shared" si="11"/>
        <v>0.11201597362688656</v>
      </c>
      <c r="W22" s="3">
        <v>0.1</v>
      </c>
      <c r="X22" s="15">
        <f t="shared" si="12"/>
        <v>0.15015851073974909</v>
      </c>
      <c r="Y22" s="21">
        <f t="shared" si="13"/>
        <v>8.230545752222132E-6</v>
      </c>
      <c r="Z22" s="15">
        <v>0</v>
      </c>
      <c r="AA22" s="15">
        <v>0</v>
      </c>
      <c r="AB22" s="3">
        <v>0.01</v>
      </c>
      <c r="AC22" s="3">
        <v>0.01</v>
      </c>
      <c r="AD22" s="3">
        <f t="shared" si="14"/>
        <v>0.01</v>
      </c>
      <c r="AE22" s="3">
        <f t="shared" si="14"/>
        <v>0.01</v>
      </c>
      <c r="AF22" s="15">
        <f t="shared" si="20"/>
        <v>3.5211912101471038E-2</v>
      </c>
      <c r="AG22" s="15">
        <f t="shared" si="15"/>
        <v>0</v>
      </c>
      <c r="AH22" s="15">
        <f t="shared" si="16"/>
        <v>3.5211912101471038E-2</v>
      </c>
      <c r="AI22" s="15">
        <f t="shared" si="2"/>
        <v>3.5225684055432215E-2</v>
      </c>
      <c r="AJ22" s="3">
        <v>0</v>
      </c>
      <c r="AK22" s="22">
        <f t="shared" si="17"/>
        <v>3.0812995743873381E-3</v>
      </c>
      <c r="AL22" s="22">
        <f t="shared" si="18"/>
        <v>1.4823684359804472E-3</v>
      </c>
      <c r="AM22" s="20">
        <f t="shared" si="19"/>
        <v>2.018123697163367E-4</v>
      </c>
    </row>
    <row r="23" spans="1:39" x14ac:dyDescent="0.25">
      <c r="A23" s="2" t="s">
        <v>63</v>
      </c>
      <c r="B23" s="1" t="s">
        <v>13</v>
      </c>
      <c r="C23" s="3">
        <v>2700</v>
      </c>
      <c r="D23" s="7">
        <v>3.49</v>
      </c>
      <c r="E23" s="13">
        <v>0</v>
      </c>
      <c r="F23" s="7">
        <v>8.6</v>
      </c>
      <c r="G23" s="13">
        <v>0</v>
      </c>
      <c r="H23" s="13">
        <v>0</v>
      </c>
      <c r="I23" s="13">
        <v>0</v>
      </c>
      <c r="J23" s="15">
        <f t="shared" si="3"/>
        <v>0</v>
      </c>
      <c r="K23" s="13">
        <v>0</v>
      </c>
      <c r="L23" s="7">
        <f t="shared" si="4"/>
        <v>12.288957323413394</v>
      </c>
      <c r="M23" s="13">
        <f t="shared" si="4"/>
        <v>0</v>
      </c>
      <c r="N23" s="7">
        <f t="shared" si="5"/>
        <v>12.288957323413394</v>
      </c>
      <c r="O23" s="8">
        <f t="shared" si="6"/>
        <v>12.288957323413394</v>
      </c>
      <c r="P23" s="8">
        <f t="shared" si="0"/>
        <v>15.268140296446393</v>
      </c>
      <c r="Q23" s="7">
        <f t="shared" si="1"/>
        <v>0</v>
      </c>
      <c r="R23" s="22">
        <f t="shared" si="7"/>
        <v>0.51714432056655935</v>
      </c>
      <c r="S23" s="25">
        <f t="shared" si="8"/>
        <v>0</v>
      </c>
      <c r="T23" s="19">
        <f t="shared" si="9"/>
        <v>0</v>
      </c>
      <c r="U23" s="3">
        <f t="shared" si="10"/>
        <v>4.3026527297494637</v>
      </c>
      <c r="V23" s="19">
        <f t="shared" si="11"/>
        <v>0</v>
      </c>
      <c r="W23" s="19">
        <v>0</v>
      </c>
      <c r="X23" s="15">
        <f t="shared" si="12"/>
        <v>0</v>
      </c>
      <c r="Y23" s="15">
        <f t="shared" si="13"/>
        <v>0</v>
      </c>
      <c r="Z23" s="15">
        <v>0</v>
      </c>
      <c r="AA23" s="15">
        <v>0</v>
      </c>
      <c r="AB23" s="3">
        <v>0.01</v>
      </c>
      <c r="AC23" s="3">
        <v>0.01</v>
      </c>
      <c r="AD23" s="3">
        <f t="shared" si="14"/>
        <v>0.01</v>
      </c>
      <c r="AE23" s="3">
        <f t="shared" si="14"/>
        <v>0.01</v>
      </c>
      <c r="AF23" s="15">
        <f t="shared" si="20"/>
        <v>3.5211912101471038E-2</v>
      </c>
      <c r="AG23" s="15">
        <f t="shared" si="15"/>
        <v>0</v>
      </c>
      <c r="AH23" s="15">
        <f t="shared" si="16"/>
        <v>3.5211912101471038E-2</v>
      </c>
      <c r="AI23" s="15">
        <f t="shared" si="2"/>
        <v>3.5211912101471038E-2</v>
      </c>
      <c r="AJ23" s="3">
        <v>0</v>
      </c>
      <c r="AK23" s="15">
        <f t="shared" si="17"/>
        <v>0</v>
      </c>
      <c r="AL23" s="22">
        <f t="shared" si="18"/>
        <v>1.481788884144869E-3</v>
      </c>
      <c r="AM23" s="19">
        <f t="shared" si="19"/>
        <v>0</v>
      </c>
    </row>
    <row r="24" spans="1:39" x14ac:dyDescent="0.25">
      <c r="A24" s="2" t="s">
        <v>63</v>
      </c>
      <c r="B24" s="1" t="s">
        <v>10</v>
      </c>
      <c r="C24" s="3">
        <v>3600</v>
      </c>
      <c r="D24" s="7">
        <v>2.4</v>
      </c>
      <c r="E24" s="13">
        <v>0</v>
      </c>
      <c r="F24" s="7">
        <v>26.5</v>
      </c>
      <c r="G24" s="7">
        <v>13.29</v>
      </c>
      <c r="H24" s="7">
        <v>13.77</v>
      </c>
      <c r="I24" s="7">
        <v>13.82</v>
      </c>
      <c r="J24" s="15">
        <f t="shared" si="3"/>
        <v>13.626666666666665</v>
      </c>
      <c r="K24" s="9">
        <f>$D$3/$B$2/J24</f>
        <v>6.6707656996968512E-3</v>
      </c>
      <c r="L24" s="7">
        <f t="shared" si="4"/>
        <v>8.4508589043530478</v>
      </c>
      <c r="M24" s="13">
        <f t="shared" si="4"/>
        <v>0</v>
      </c>
      <c r="N24" s="7">
        <f t="shared" si="5"/>
        <v>8.4508589043530478</v>
      </c>
      <c r="O24" s="7">
        <f t="shared" si="6"/>
        <v>9.643667579144342</v>
      </c>
      <c r="P24" s="8">
        <f t="shared" si="0"/>
        <v>20.357520395261858</v>
      </c>
      <c r="Q24" s="8">
        <f t="shared" si="1"/>
        <v>2.4973590002539137</v>
      </c>
      <c r="R24" s="22">
        <f t="shared" si="7"/>
        <v>0.22827664545002488</v>
      </c>
      <c r="S24" s="25">
        <f t="shared" si="8"/>
        <v>0.12267500912513712</v>
      </c>
      <c r="T24" s="19">
        <f t="shared" si="9"/>
        <v>0.29263173671584841</v>
      </c>
      <c r="U24" s="3">
        <f t="shared" si="10"/>
        <v>4.3026527297494637</v>
      </c>
      <c r="V24" s="19">
        <f t="shared" si="11"/>
        <v>0.72693753283083307</v>
      </c>
      <c r="W24" s="3">
        <v>0.1</v>
      </c>
      <c r="X24" s="15">
        <f t="shared" si="12"/>
        <v>0.733783467133308</v>
      </c>
      <c r="Y24" s="21">
        <f t="shared" si="13"/>
        <v>3.5921459761919052E-4</v>
      </c>
      <c r="Z24" s="15">
        <v>0</v>
      </c>
      <c r="AA24" s="15">
        <v>0</v>
      </c>
      <c r="AB24" s="3">
        <v>0.01</v>
      </c>
      <c r="AC24" s="3">
        <v>0.01</v>
      </c>
      <c r="AD24" s="3">
        <f t="shared" si="14"/>
        <v>0.01</v>
      </c>
      <c r="AE24" s="3">
        <f t="shared" si="14"/>
        <v>0.01</v>
      </c>
      <c r="AF24" s="15">
        <f t="shared" si="20"/>
        <v>3.5211912101471038E-2</v>
      </c>
      <c r="AG24" s="15">
        <f t="shared" si="15"/>
        <v>0</v>
      </c>
      <c r="AH24" s="15">
        <f t="shared" si="16"/>
        <v>3.5211912101471038E-2</v>
      </c>
      <c r="AI24" s="15">
        <f t="shared" si="2"/>
        <v>0.13320172010529113</v>
      </c>
      <c r="AJ24" s="3">
        <v>0</v>
      </c>
      <c r="AK24" s="22">
        <f t="shared" si="17"/>
        <v>0.13448048526537831</v>
      </c>
      <c r="AL24" s="22">
        <f t="shared" si="18"/>
        <v>3.1530371183228732E-3</v>
      </c>
      <c r="AM24" s="19">
        <f t="shared" si="19"/>
        <v>6.6059364133894301E-3</v>
      </c>
    </row>
    <row r="25" spans="1:39" x14ac:dyDescent="0.25">
      <c r="A25" s="2" t="s">
        <v>63</v>
      </c>
      <c r="B25" s="1" t="s">
        <v>11</v>
      </c>
      <c r="C25" s="3">
        <v>3600</v>
      </c>
      <c r="D25" s="7">
        <v>3</v>
      </c>
      <c r="E25" s="13">
        <v>0</v>
      </c>
      <c r="F25" s="7">
        <v>26.6</v>
      </c>
      <c r="G25" s="7">
        <v>14.2</v>
      </c>
      <c r="H25" s="7">
        <v>14.79</v>
      </c>
      <c r="I25" s="7">
        <v>14.16</v>
      </c>
      <c r="J25" s="15">
        <f t="shared" si="3"/>
        <v>14.383333333333333</v>
      </c>
      <c r="K25" s="9">
        <f>$D$3/$B$2/J25</f>
        <v>6.3198354995042238E-3</v>
      </c>
      <c r="L25" s="7">
        <f t="shared" si="4"/>
        <v>10.56357363044131</v>
      </c>
      <c r="M25" s="13">
        <f t="shared" si="4"/>
        <v>0</v>
      </c>
      <c r="N25" s="7">
        <f t="shared" si="5"/>
        <v>10.56357363044131</v>
      </c>
      <c r="O25" s="8">
        <f t="shared" si="6"/>
        <v>11.63418281068868</v>
      </c>
      <c r="P25" s="8">
        <f t="shared" si="0"/>
        <v>20.357520395261858</v>
      </c>
      <c r="Q25" s="8">
        <f t="shared" si="1"/>
        <v>2.3659799752115873</v>
      </c>
      <c r="R25" s="22">
        <f t="shared" si="7"/>
        <v>0.27539441843888163</v>
      </c>
      <c r="S25" s="25">
        <f t="shared" si="8"/>
        <v>0.11622142231832228</v>
      </c>
      <c r="T25" s="19">
        <f t="shared" si="9"/>
        <v>0.35275109260402449</v>
      </c>
      <c r="U25" s="3">
        <f t="shared" si="10"/>
        <v>4.3026527297494637</v>
      </c>
      <c r="V25" s="19">
        <f t="shared" si="11"/>
        <v>0.87628229199879049</v>
      </c>
      <c r="W25" s="3">
        <v>0.1</v>
      </c>
      <c r="X25" s="15">
        <f t="shared" si="12"/>
        <v>0.88196975870528205</v>
      </c>
      <c r="Y25" s="21">
        <f t="shared" si="13"/>
        <v>3.8752517663185281E-4</v>
      </c>
      <c r="Z25" s="15">
        <v>0</v>
      </c>
      <c r="AA25" s="15">
        <v>0</v>
      </c>
      <c r="AB25" s="3">
        <v>0.01</v>
      </c>
      <c r="AC25" s="3">
        <v>0.01</v>
      </c>
      <c r="AD25" s="3">
        <f t="shared" si="14"/>
        <v>0.01</v>
      </c>
      <c r="AE25" s="3">
        <f t="shared" si="14"/>
        <v>0.01</v>
      </c>
      <c r="AF25" s="15">
        <f t="shared" si="20"/>
        <v>3.5211912101471031E-2</v>
      </c>
      <c r="AG25" s="15">
        <f t="shared" si="15"/>
        <v>0</v>
      </c>
      <c r="AH25" s="15">
        <f t="shared" si="16"/>
        <v>3.5211912101471031E-2</v>
      </c>
      <c r="AI25" s="14">
        <f t="shared" si="2"/>
        <v>0.13593676888995554</v>
      </c>
      <c r="AJ25" s="3">
        <v>0</v>
      </c>
      <c r="AK25" s="7">
        <f t="shared" si="17"/>
        <v>0.14507922047547342</v>
      </c>
      <c r="AL25" s="22">
        <f t="shared" si="18"/>
        <v>3.2177788523759616E-3</v>
      </c>
      <c r="AM25" s="19">
        <f t="shared" si="19"/>
        <v>7.1265663822810228E-3</v>
      </c>
    </row>
    <row r="26" spans="1:39" x14ac:dyDescent="0.25">
      <c r="A26" s="2" t="s">
        <v>63</v>
      </c>
      <c r="B26" s="1" t="s">
        <v>12</v>
      </c>
      <c r="C26" s="3">
        <v>3600</v>
      </c>
      <c r="D26" s="7">
        <v>5.0999999999999996</v>
      </c>
      <c r="E26" s="13">
        <v>0</v>
      </c>
      <c r="F26" s="7">
        <v>23.9</v>
      </c>
      <c r="G26" s="7">
        <v>23.26</v>
      </c>
      <c r="H26" s="7">
        <v>23.32</v>
      </c>
      <c r="I26" s="7">
        <v>23.28</v>
      </c>
      <c r="J26" s="15">
        <f t="shared" si="3"/>
        <v>23.286666666666665</v>
      </c>
      <c r="K26" s="9">
        <f>$D$3/$B$2/J26</f>
        <v>3.903534237097155E-3</v>
      </c>
      <c r="L26" s="7">
        <f t="shared" si="4"/>
        <v>17.958075171750227</v>
      </c>
      <c r="M26" s="13">
        <f t="shared" si="4"/>
        <v>0</v>
      </c>
      <c r="N26" s="7">
        <f t="shared" si="5"/>
        <v>17.958075171750227</v>
      </c>
      <c r="O26" s="8">
        <f t="shared" si="6"/>
        <v>18.36652188018676</v>
      </c>
      <c r="P26" s="8">
        <f t="shared" si="0"/>
        <v>20.357520395261858</v>
      </c>
      <c r="Q26" s="8">
        <f t="shared" si="1"/>
        <v>1.46138041698225</v>
      </c>
      <c r="R26" s="22">
        <f t="shared" si="7"/>
        <v>0.43475658705414644</v>
      </c>
      <c r="S26" s="25">
        <f t="shared" si="8"/>
        <v>7.1785776882845764E-2</v>
      </c>
      <c r="T26" s="19">
        <f t="shared" si="9"/>
        <v>3.0550504633038281E-2</v>
      </c>
      <c r="U26" s="3">
        <f t="shared" si="10"/>
        <v>4.3026527297494637</v>
      </c>
      <c r="V26" s="19">
        <f t="shared" si="11"/>
        <v>7.5891660671933592E-2</v>
      </c>
      <c r="W26" s="3">
        <v>0.1</v>
      </c>
      <c r="X26" s="15">
        <f t="shared" si="12"/>
        <v>0.12553702306309447</v>
      </c>
      <c r="Y26" s="21">
        <f t="shared" si="13"/>
        <v>2.1043718904238956E-5</v>
      </c>
      <c r="Z26" s="15">
        <v>0</v>
      </c>
      <c r="AA26" s="15">
        <v>0</v>
      </c>
      <c r="AB26" s="3">
        <v>0.01</v>
      </c>
      <c r="AC26" s="3">
        <v>0.01</v>
      </c>
      <c r="AD26" s="3">
        <f t="shared" si="14"/>
        <v>0.01</v>
      </c>
      <c r="AE26" s="3">
        <f t="shared" si="14"/>
        <v>0.01</v>
      </c>
      <c r="AF26" s="15">
        <f t="shared" si="20"/>
        <v>3.5211912101471038E-2</v>
      </c>
      <c r="AG26" s="15">
        <f t="shared" si="15"/>
        <v>0</v>
      </c>
      <c r="AH26" s="15">
        <f t="shared" si="16"/>
        <v>3.5211912101471038E-2</v>
      </c>
      <c r="AI26" s="15">
        <f t="shared" si="2"/>
        <v>3.5486228518015847E-2</v>
      </c>
      <c r="AJ26" s="3">
        <v>0</v>
      </c>
      <c r="AK26" s="10">
        <f t="shared" si="17"/>
        <v>7.878214161637075E-3</v>
      </c>
      <c r="AL26" s="22">
        <f t="shared" si="18"/>
        <v>8.3999963077163817E-4</v>
      </c>
      <c r="AM26" s="20">
        <f t="shared" si="19"/>
        <v>3.8699281683984957E-4</v>
      </c>
    </row>
    <row r="27" spans="1:39" x14ac:dyDescent="0.25">
      <c r="A27" s="2" t="s">
        <v>63</v>
      </c>
      <c r="B27" s="1" t="s">
        <v>13</v>
      </c>
      <c r="C27" s="3">
        <v>3600</v>
      </c>
      <c r="D27" s="7">
        <v>6.15</v>
      </c>
      <c r="E27" s="13">
        <v>0</v>
      </c>
      <c r="F27" s="7">
        <v>13.2</v>
      </c>
      <c r="G27" s="13">
        <v>0</v>
      </c>
      <c r="H27" s="13">
        <v>0</v>
      </c>
      <c r="I27" s="13">
        <v>0</v>
      </c>
      <c r="J27" s="15">
        <f t="shared" si="3"/>
        <v>0</v>
      </c>
      <c r="K27" s="13">
        <v>0</v>
      </c>
      <c r="L27" s="7">
        <f t="shared" si="4"/>
        <v>21.655325942404687</v>
      </c>
      <c r="M27" s="13">
        <f t="shared" si="4"/>
        <v>0</v>
      </c>
      <c r="N27" s="7">
        <f t="shared" si="5"/>
        <v>21.655325942404687</v>
      </c>
      <c r="O27" s="8">
        <f t="shared" si="6"/>
        <v>21.655325942404687</v>
      </c>
      <c r="P27" s="8">
        <f t="shared" si="0"/>
        <v>20.357520395261858</v>
      </c>
      <c r="Q27" s="7">
        <f t="shared" si="1"/>
        <v>0</v>
      </c>
      <c r="R27" s="22">
        <f t="shared" si="7"/>
        <v>0.51260634210886558</v>
      </c>
      <c r="S27" s="25">
        <f t="shared" si="8"/>
        <v>0</v>
      </c>
      <c r="T27" s="19">
        <f t="shared" si="9"/>
        <v>0</v>
      </c>
      <c r="U27" s="3">
        <f t="shared" si="10"/>
        <v>4.3026527297494637</v>
      </c>
      <c r="V27" s="19">
        <f t="shared" si="11"/>
        <v>0</v>
      </c>
      <c r="W27" s="19">
        <v>0</v>
      </c>
      <c r="X27" s="15">
        <f t="shared" si="12"/>
        <v>0</v>
      </c>
      <c r="Y27" s="15">
        <f t="shared" si="13"/>
        <v>0</v>
      </c>
      <c r="Z27" s="15">
        <v>0</v>
      </c>
      <c r="AA27" s="15">
        <v>0</v>
      </c>
      <c r="AB27" s="3">
        <v>0.01</v>
      </c>
      <c r="AC27" s="3">
        <v>0.01</v>
      </c>
      <c r="AD27" s="3">
        <f t="shared" si="14"/>
        <v>0.01</v>
      </c>
      <c r="AE27" s="3">
        <f t="shared" si="14"/>
        <v>0.01</v>
      </c>
      <c r="AF27" s="15">
        <f t="shared" si="20"/>
        <v>3.5211912101471038E-2</v>
      </c>
      <c r="AG27" s="15">
        <f t="shared" si="15"/>
        <v>0</v>
      </c>
      <c r="AH27" s="15">
        <f t="shared" si="16"/>
        <v>3.5211912101471038E-2</v>
      </c>
      <c r="AI27" s="15">
        <f>SQRT(AH27^2+(16*K27/(PI()^2*$B$6^4*9.81)*(1-($B$6/$B$5)^(4))*Y27)^2)</f>
        <v>3.5211912101471038E-2</v>
      </c>
      <c r="AJ27" s="3">
        <v>0</v>
      </c>
      <c r="AK27" s="15">
        <f t="shared" si="17"/>
        <v>0</v>
      </c>
      <c r="AL27" s="22">
        <f>R27*AI27/O27</f>
        <v>8.3350624733148876E-4</v>
      </c>
      <c r="AM27" s="19">
        <f t="shared" si="19"/>
        <v>0</v>
      </c>
    </row>
    <row r="28" spans="1:39" x14ac:dyDescent="0.25">
      <c r="A28" s="2" t="s">
        <v>64</v>
      </c>
      <c r="B28" s="1" t="s">
        <v>10</v>
      </c>
      <c r="C28" s="3">
        <v>2700</v>
      </c>
      <c r="D28" s="3">
        <v>2.84</v>
      </c>
      <c r="E28" s="3">
        <v>2.76</v>
      </c>
      <c r="F28" s="13">
        <v>0</v>
      </c>
      <c r="G28" s="3">
        <v>12.62</v>
      </c>
      <c r="H28" s="3">
        <v>12.46</v>
      </c>
      <c r="I28" s="3">
        <v>12.33</v>
      </c>
      <c r="J28" s="15">
        <f t="shared" si="3"/>
        <v>12.469999999999999</v>
      </c>
      <c r="K28" s="9">
        <f>$D$3/$B$2/J28</f>
        <v>7.289518893440451E-3</v>
      </c>
      <c r="L28" s="7">
        <f t="shared" si="4"/>
        <v>10.000183036817774</v>
      </c>
      <c r="M28" s="7">
        <f t="shared" si="4"/>
        <v>9.7184877400060046</v>
      </c>
      <c r="N28" s="7">
        <f t="shared" si="5"/>
        <v>9.8593353884118891</v>
      </c>
      <c r="O28" s="8">
        <f t="shared" ref="O28:O35" si="21">N28+8*K28^2/(PI()^2*$B$6^4*9.81)*(1-($B$6/$B$5)^4)</f>
        <v>11.283686788313851</v>
      </c>
      <c r="P28" s="8">
        <f t="shared" si="0"/>
        <v>15.268140296446393</v>
      </c>
      <c r="Q28" s="8">
        <f t="shared" si="1"/>
        <v>2.7290039008388129</v>
      </c>
      <c r="R28" s="22">
        <f t="shared" si="7"/>
        <v>0.47484049167546549</v>
      </c>
      <c r="S28" s="25">
        <f t="shared" si="8"/>
        <v>0.17873846112574557</v>
      </c>
      <c r="T28" s="19">
        <f t="shared" si="9"/>
        <v>0.14525839046333905</v>
      </c>
      <c r="U28" s="3">
        <f t="shared" si="10"/>
        <v>4.3026527297494637</v>
      </c>
      <c r="V28" s="19">
        <f>T28*U28/SQRT(COUNT(G28:I28))</f>
        <v>0.36084184569813516</v>
      </c>
      <c r="W28" s="3">
        <v>0.1</v>
      </c>
      <c r="X28" s="15">
        <f>SQRT(V28^2+W28^2)</f>
        <v>0.37444203504259077</v>
      </c>
      <c r="Y28" s="21">
        <f t="shared" si="13"/>
        <v>2.1888550833530529E-4</v>
      </c>
      <c r="Z28" s="15">
        <v>0</v>
      </c>
      <c r="AA28" s="15">
        <v>0</v>
      </c>
      <c r="AB28" s="3">
        <v>0.01</v>
      </c>
      <c r="AC28" s="3">
        <v>0.01</v>
      </c>
      <c r="AD28" s="3">
        <f t="shared" si="14"/>
        <v>0.01</v>
      </c>
      <c r="AE28" s="3">
        <f t="shared" si="14"/>
        <v>0.01</v>
      </c>
      <c r="AF28" s="15">
        <f t="shared" ref="AF28:AG35" si="22">L28*AD28/D28</f>
        <v>3.5211912101471038E-2</v>
      </c>
      <c r="AG28" s="15">
        <f t="shared" si="22"/>
        <v>3.5211912101471031E-2</v>
      </c>
      <c r="AH28" s="15">
        <f>SQRT((AF28/2)^2+(AG28/2)^2)</f>
        <v>2.4898581825494825E-2</v>
      </c>
      <c r="AI28" s="14">
        <f>SQRT(AH28^2+(16*K28/(PI()^2*$B$6^4*9.81)*(1-($B$6/$B$5)^(4))*Y28)^2)</f>
        <v>8.9089267242117229E-2</v>
      </c>
      <c r="AJ28" s="3">
        <v>0</v>
      </c>
      <c r="AK28" s="7">
        <f t="shared" si="17"/>
        <v>8.1944969869226447E-2</v>
      </c>
      <c r="AL28" s="22">
        <f t="shared" si="18"/>
        <v>3.7490575778889867E-3</v>
      </c>
      <c r="AM28" s="19">
        <f t="shared" si="19"/>
        <v>5.36705638526906E-3</v>
      </c>
    </row>
    <row r="29" spans="1:39" x14ac:dyDescent="0.25">
      <c r="A29" s="2" t="s">
        <v>64</v>
      </c>
      <c r="B29" s="1" t="s">
        <v>11</v>
      </c>
      <c r="C29" s="3">
        <v>2700</v>
      </c>
      <c r="D29" s="3">
        <v>3.17</v>
      </c>
      <c r="E29" s="3">
        <v>3.12</v>
      </c>
      <c r="F29" s="13">
        <v>0</v>
      </c>
      <c r="G29" s="3">
        <v>15.95</v>
      </c>
      <c r="H29" s="3">
        <v>15.88</v>
      </c>
      <c r="I29" s="3">
        <v>15.63</v>
      </c>
      <c r="J29" s="15">
        <f t="shared" si="3"/>
        <v>15.82</v>
      </c>
      <c r="K29" s="9">
        <f>$D$3/$B$2/J29</f>
        <v>5.7459102782049564E-3</v>
      </c>
      <c r="L29" s="7">
        <f t="shared" si="4"/>
        <v>11.162176136166316</v>
      </c>
      <c r="M29" s="7">
        <f t="shared" si="4"/>
        <v>10.986116575658963</v>
      </c>
      <c r="N29" s="7">
        <f t="shared" si="5"/>
        <v>11.074146355912639</v>
      </c>
      <c r="O29" s="8">
        <f t="shared" si="21"/>
        <v>11.9591337720281</v>
      </c>
      <c r="P29" s="8">
        <f t="shared" si="0"/>
        <v>15.268140296446393</v>
      </c>
      <c r="Q29" s="8">
        <f t="shared" si="1"/>
        <v>2.1511174869443739</v>
      </c>
      <c r="R29" s="22">
        <f t="shared" si="7"/>
        <v>0.50326467464549918</v>
      </c>
      <c r="S29" s="25">
        <f t="shared" si="8"/>
        <v>0.1408892926825567</v>
      </c>
      <c r="T29" s="19">
        <f t="shared" si="9"/>
        <v>0.16822603841260664</v>
      </c>
      <c r="U29" s="3">
        <f t="shared" si="10"/>
        <v>4.3026527297494637</v>
      </c>
      <c r="V29" s="19">
        <f t="shared" si="11"/>
        <v>0.41789664611911592</v>
      </c>
      <c r="W29" s="3">
        <v>0.1</v>
      </c>
      <c r="X29" s="15">
        <f t="shared" si="12"/>
        <v>0.42969478334930433</v>
      </c>
      <c r="Y29" s="21">
        <f t="shared" si="13"/>
        <v>1.5606748875713147E-4</v>
      </c>
      <c r="Z29" s="15">
        <v>0</v>
      </c>
      <c r="AA29" s="15">
        <v>0</v>
      </c>
      <c r="AB29" s="3">
        <v>0.01</v>
      </c>
      <c r="AC29" s="3">
        <v>0.01</v>
      </c>
      <c r="AD29" s="3">
        <f t="shared" si="14"/>
        <v>0.01</v>
      </c>
      <c r="AE29" s="3">
        <f t="shared" si="14"/>
        <v>0.01</v>
      </c>
      <c r="AF29" s="15">
        <f t="shared" si="22"/>
        <v>3.5211912101471031E-2</v>
      </c>
      <c r="AG29" s="15">
        <f t="shared" si="22"/>
        <v>3.5211912101471038E-2</v>
      </c>
      <c r="AH29" s="15">
        <f t="shared" ref="AH29:AH31" si="23">SQRT((AF29/2)^2+(AG29/2)^2)</f>
        <v>2.4898581825494825E-2</v>
      </c>
      <c r="AI29" s="15">
        <f t="shared" ref="AI29:AI35" si="24">SQRT(AH29^2+(16*K29/(PI()^2*$B$6^4*9.81)*(1-($B$6/$B$5)^(4))*Y29)^2)</f>
        <v>5.4140187522833817E-2</v>
      </c>
      <c r="AJ29" s="3">
        <v>0</v>
      </c>
      <c r="AK29" s="22">
        <f t="shared" si="17"/>
        <v>5.8427557680876277E-2</v>
      </c>
      <c r="AL29" s="22">
        <f t="shared" si="18"/>
        <v>2.2783292150017147E-3</v>
      </c>
      <c r="AM29" s="19">
        <f t="shared" si="19"/>
        <v>3.8267632171597936E-3</v>
      </c>
    </row>
    <row r="30" spans="1:39" x14ac:dyDescent="0.25">
      <c r="A30" s="2" t="s">
        <v>64</v>
      </c>
      <c r="B30" s="1" t="s">
        <v>12</v>
      </c>
      <c r="C30" s="3">
        <v>2700</v>
      </c>
      <c r="D30" s="3">
        <v>3.47</v>
      </c>
      <c r="E30" s="3">
        <v>3.52</v>
      </c>
      <c r="F30" s="13">
        <v>0</v>
      </c>
      <c r="G30" s="3">
        <v>36.090000000000003</v>
      </c>
      <c r="H30" s="3">
        <v>36.36</v>
      </c>
      <c r="I30" s="3">
        <v>36.31</v>
      </c>
      <c r="J30" s="15">
        <f t="shared" si="3"/>
        <v>36.253333333333337</v>
      </c>
      <c r="K30" s="9">
        <f t="shared" ref="K30:K34" si="25">$D$3/$B$2/J30</f>
        <v>2.5073639371423978E-3</v>
      </c>
      <c r="L30" s="7">
        <f t="shared" si="4"/>
        <v>12.21853349921045</v>
      </c>
      <c r="M30" s="7">
        <f t="shared" si="4"/>
        <v>12.394593059717804</v>
      </c>
      <c r="N30" s="7">
        <f t="shared" si="5"/>
        <v>12.306563279464127</v>
      </c>
      <c r="O30" s="8">
        <f t="shared" si="21"/>
        <v>12.475084332920341</v>
      </c>
      <c r="P30" s="8">
        <f t="shared" si="0"/>
        <v>15.268140296446393</v>
      </c>
      <c r="Q30" s="7">
        <f t="shared" si="1"/>
        <v>0.93869102547241601</v>
      </c>
      <c r="R30" s="22">
        <f t="shared" si="7"/>
        <v>0.52497692371891691</v>
      </c>
      <c r="S30" s="25">
        <f>Q30/P30</f>
        <v>6.1480377259232617E-2</v>
      </c>
      <c r="T30" s="19">
        <f t="shared" si="9"/>
        <v>0.14364307617609992</v>
      </c>
      <c r="U30" s="3">
        <f t="shared" si="10"/>
        <v>4.3026527297494637</v>
      </c>
      <c r="V30" s="19">
        <f t="shared" si="11"/>
        <v>0.35682918256087537</v>
      </c>
      <c r="W30" s="3">
        <v>0.1</v>
      </c>
      <c r="X30" s="15">
        <f t="shared" si="12"/>
        <v>0.37057666619346463</v>
      </c>
      <c r="Y30" s="21">
        <f t="shared" si="13"/>
        <v>2.5629934776386987E-5</v>
      </c>
      <c r="Z30" s="15">
        <v>0</v>
      </c>
      <c r="AA30" s="15">
        <v>0</v>
      </c>
      <c r="AB30" s="3">
        <v>0.01</v>
      </c>
      <c r="AC30" s="3">
        <v>0.01</v>
      </c>
      <c r="AD30" s="3">
        <f t="shared" si="14"/>
        <v>0.01</v>
      </c>
      <c r="AE30" s="3">
        <f t="shared" si="14"/>
        <v>0.01</v>
      </c>
      <c r="AF30" s="15">
        <f t="shared" si="22"/>
        <v>3.5211912101471038E-2</v>
      </c>
      <c r="AG30" s="15">
        <f t="shared" si="22"/>
        <v>3.5211912101471038E-2</v>
      </c>
      <c r="AH30" s="15">
        <f t="shared" si="23"/>
        <v>2.4898581825494828E-2</v>
      </c>
      <c r="AI30" s="15">
        <f t="shared" si="24"/>
        <v>2.5135806564818147E-2</v>
      </c>
      <c r="AJ30" s="3">
        <v>0</v>
      </c>
      <c r="AK30" s="10">
        <f t="shared" si="17"/>
        <v>9.5951726040444784E-3</v>
      </c>
      <c r="AL30" s="22">
        <f t="shared" si="18"/>
        <v>1.0577658678242339E-3</v>
      </c>
      <c r="AM30" s="20">
        <f t="shared" si="19"/>
        <v>6.2844409454881163E-4</v>
      </c>
    </row>
    <row r="31" spans="1:39" x14ac:dyDescent="0.25">
      <c r="A31" s="2" t="s">
        <v>64</v>
      </c>
      <c r="B31" s="1" t="s">
        <v>13</v>
      </c>
      <c r="C31" s="3">
        <v>2700</v>
      </c>
      <c r="D31" s="3">
        <v>3.52</v>
      </c>
      <c r="E31" s="3">
        <v>3.56</v>
      </c>
      <c r="F31" s="13">
        <v>0</v>
      </c>
      <c r="G31" s="13">
        <v>0</v>
      </c>
      <c r="H31" s="13">
        <v>0</v>
      </c>
      <c r="I31" s="13">
        <v>0</v>
      </c>
      <c r="J31" s="15">
        <f t="shared" si="3"/>
        <v>0</v>
      </c>
      <c r="K31" s="13">
        <v>0</v>
      </c>
      <c r="L31" s="7">
        <f>5*D31/($B$2*9.81)*6894.76</f>
        <v>12.394593059717804</v>
      </c>
      <c r="M31" s="7">
        <f>5*E31/($B$2*9.81)*6894.76</f>
        <v>12.535440708123687</v>
      </c>
      <c r="N31" s="7">
        <f t="shared" si="5"/>
        <v>12.465016883920747</v>
      </c>
      <c r="O31" s="8">
        <f t="shared" si="21"/>
        <v>12.465016883920747</v>
      </c>
      <c r="P31" s="8">
        <f>$B$7/2*2*PI()/60*C31</f>
        <v>15.268140296446393</v>
      </c>
      <c r="Q31" s="7">
        <f t="shared" si="1"/>
        <v>0</v>
      </c>
      <c r="R31" s="22">
        <f t="shared" si="7"/>
        <v>0.52455326498728361</v>
      </c>
      <c r="S31" s="25">
        <f t="shared" si="8"/>
        <v>0</v>
      </c>
      <c r="T31" s="19">
        <f t="shared" si="9"/>
        <v>0</v>
      </c>
      <c r="U31" s="3">
        <f t="shared" si="10"/>
        <v>4.3026527297494637</v>
      </c>
      <c r="V31" s="19">
        <f t="shared" si="11"/>
        <v>0</v>
      </c>
      <c r="W31" s="19">
        <v>0</v>
      </c>
      <c r="X31" s="15">
        <f t="shared" si="12"/>
        <v>0</v>
      </c>
      <c r="Y31" s="15">
        <f t="shared" si="13"/>
        <v>0</v>
      </c>
      <c r="Z31" s="15">
        <v>0</v>
      </c>
      <c r="AA31" s="15">
        <v>0</v>
      </c>
      <c r="AB31" s="3">
        <v>0.01</v>
      </c>
      <c r="AC31" s="3">
        <v>0.01</v>
      </c>
      <c r="AD31" s="3">
        <f t="shared" si="14"/>
        <v>0.01</v>
      </c>
      <c r="AE31" s="3">
        <f t="shared" si="14"/>
        <v>0.01</v>
      </c>
      <c r="AF31" s="15">
        <f t="shared" si="22"/>
        <v>3.5211912101471038E-2</v>
      </c>
      <c r="AG31" s="15">
        <f t="shared" si="22"/>
        <v>3.5211912101471031E-2</v>
      </c>
      <c r="AH31" s="15">
        <f t="shared" si="23"/>
        <v>2.4898581825494825E-2</v>
      </c>
      <c r="AI31" s="15">
        <f t="shared" si="24"/>
        <v>2.4898581825494825E-2</v>
      </c>
      <c r="AJ31" s="3">
        <v>0</v>
      </c>
      <c r="AK31" s="15">
        <f t="shared" si="17"/>
        <v>0</v>
      </c>
      <c r="AL31" s="22">
        <f t="shared" si="18"/>
        <v>1.0477829682656841E-3</v>
      </c>
      <c r="AM31" s="19">
        <f t="shared" si="19"/>
        <v>0</v>
      </c>
    </row>
    <row r="32" spans="1:39" x14ac:dyDescent="0.25">
      <c r="A32" s="2" t="s">
        <v>78</v>
      </c>
      <c r="B32" s="1" t="s">
        <v>10</v>
      </c>
      <c r="C32" s="3">
        <v>2700</v>
      </c>
      <c r="D32" s="3">
        <v>0.63</v>
      </c>
      <c r="E32" s="3">
        <v>1.68</v>
      </c>
      <c r="F32" s="13">
        <v>0</v>
      </c>
      <c r="G32" s="3">
        <v>16.13</v>
      </c>
      <c r="H32" s="3">
        <v>15.97</v>
      </c>
      <c r="I32" s="3">
        <v>16.14</v>
      </c>
      <c r="J32" s="15">
        <f t="shared" si="3"/>
        <v>16.080000000000002</v>
      </c>
      <c r="K32" s="9">
        <f t="shared" si="25"/>
        <v>5.6530037687314927E-3</v>
      </c>
      <c r="L32" s="7">
        <f t="shared" ref="L32:M35" si="26">5*D32/($B$2*9.81)*6894.76</f>
        <v>2.2183504623926749</v>
      </c>
      <c r="M32" s="7">
        <f t="shared" si="26"/>
        <v>5.9156012330471341</v>
      </c>
      <c r="N32" s="7">
        <f>L32+M32</f>
        <v>8.1339516954398086</v>
      </c>
      <c r="O32" s="8">
        <f t="shared" si="21"/>
        <v>8.9905514879921853</v>
      </c>
      <c r="P32" s="8">
        <f t="shared" ref="P32:P35" si="27">$B$7/2*2*PI()/60*C32</f>
        <v>15.268140296446393</v>
      </c>
      <c r="Q32" s="7">
        <f>K32/($B$8*(2*PI()*$B$7/2-$B$10*$B$9))</f>
        <v>2.1163357365335815</v>
      </c>
      <c r="R32" s="22">
        <f t="shared" si="7"/>
        <v>0.37834069387792146</v>
      </c>
      <c r="S32" s="25">
        <f t="shared" si="8"/>
        <v>0.13861123197997802</v>
      </c>
      <c r="T32" s="19">
        <f t="shared" si="9"/>
        <v>9.5393920141694108E-2</v>
      </c>
      <c r="U32" s="3">
        <f t="shared" si="10"/>
        <v>4.3026527297494637</v>
      </c>
      <c r="V32" s="19">
        <f t="shared" si="11"/>
        <v>0.23697163449568184</v>
      </c>
      <c r="W32" s="3">
        <v>0.1</v>
      </c>
      <c r="X32" s="15">
        <f t="shared" si="12"/>
        <v>0.25720722298480464</v>
      </c>
      <c r="Y32" s="21">
        <f t="shared" si="13"/>
        <v>9.0422475178983952E-5</v>
      </c>
      <c r="Z32" s="15">
        <v>0</v>
      </c>
      <c r="AA32" s="15">
        <v>0</v>
      </c>
      <c r="AB32" s="3">
        <v>0.01</v>
      </c>
      <c r="AC32" s="3">
        <v>0.01</v>
      </c>
      <c r="AD32" s="3">
        <f t="shared" ref="AD32:AE35" si="28">SQRT(Z32^2+AB32^2)</f>
        <v>0.01</v>
      </c>
      <c r="AE32" s="3">
        <f t="shared" si="28"/>
        <v>0.01</v>
      </c>
      <c r="AF32" s="15">
        <f t="shared" si="22"/>
        <v>3.5211912101471031E-2</v>
      </c>
      <c r="AG32" s="15">
        <f t="shared" si="22"/>
        <v>3.5211912101471038E-2</v>
      </c>
      <c r="AH32" s="15">
        <f>SQRT(AF32^2+AG32^2)</f>
        <v>4.979716365098965E-2</v>
      </c>
      <c r="AI32" s="14">
        <f t="shared" si="24"/>
        <v>5.6839299837050321E-2</v>
      </c>
      <c r="AJ32" s="3">
        <v>0</v>
      </c>
      <c r="AK32" s="7">
        <f t="shared" si="17"/>
        <v>3.3851793389135798E-2</v>
      </c>
      <c r="AL32" s="22">
        <f t="shared" si="18"/>
        <v>2.3919133513229415E-3</v>
      </c>
      <c r="AM32" s="19">
        <f t="shared" si="19"/>
        <v>2.217152366422431E-3</v>
      </c>
    </row>
    <row r="33" spans="1:39" x14ac:dyDescent="0.25">
      <c r="A33" s="2" t="s">
        <v>78</v>
      </c>
      <c r="B33" s="1" t="s">
        <v>11</v>
      </c>
      <c r="C33" s="3">
        <v>2700</v>
      </c>
      <c r="D33" s="3">
        <v>0.9</v>
      </c>
      <c r="E33" s="3">
        <v>1.89</v>
      </c>
      <c r="F33" s="13">
        <v>0</v>
      </c>
      <c r="G33" s="3">
        <v>17</v>
      </c>
      <c r="H33" s="3">
        <v>16.91</v>
      </c>
      <c r="I33" s="3">
        <v>17.329999999999998</v>
      </c>
      <c r="J33" s="15">
        <f t="shared" si="3"/>
        <v>17.079999999999998</v>
      </c>
      <c r="K33" s="9">
        <f t="shared" si="25"/>
        <v>5.3220316511242635E-3</v>
      </c>
      <c r="L33" s="7">
        <f t="shared" si="26"/>
        <v>3.1690720891323929</v>
      </c>
      <c r="M33" s="7">
        <f t="shared" si="26"/>
        <v>6.655051387178025</v>
      </c>
      <c r="N33" s="7">
        <f t="shared" ref="N33:N35" si="29">L33+M33</f>
        <v>9.8241234763104188</v>
      </c>
      <c r="O33" s="8">
        <f t="shared" si="21"/>
        <v>10.583355155723098</v>
      </c>
      <c r="P33" s="8">
        <f t="shared" si="27"/>
        <v>15.268140296446393</v>
      </c>
      <c r="Q33" s="7">
        <f t="shared" ref="Q33:Q35" si="30">K33/($B$8*(2*PI()*$B$7/2-$B$10*$B$9))</f>
        <v>1.9924284920058546</v>
      </c>
      <c r="R33" s="22">
        <f t="shared" si="7"/>
        <v>0.44536911206400009</v>
      </c>
      <c r="S33" s="25">
        <f t="shared" si="8"/>
        <v>0.13049582027154841</v>
      </c>
      <c r="T33" s="19">
        <f t="shared" si="9"/>
        <v>0.22113344387495878</v>
      </c>
      <c r="U33" s="3">
        <f t="shared" si="10"/>
        <v>4.3026527297494637</v>
      </c>
      <c r="V33" s="19">
        <f t="shared" si="11"/>
        <v>0.54932592725901042</v>
      </c>
      <c r="W33" s="3">
        <v>0.1</v>
      </c>
      <c r="X33" s="15">
        <f t="shared" si="12"/>
        <v>0.55835380750826047</v>
      </c>
      <c r="Y33" s="21">
        <f t="shared" si="13"/>
        <v>1.739798967262709E-4</v>
      </c>
      <c r="Z33" s="15">
        <v>0</v>
      </c>
      <c r="AA33" s="15">
        <v>0</v>
      </c>
      <c r="AB33" s="3">
        <v>0.01</v>
      </c>
      <c r="AC33" s="3">
        <v>0.01</v>
      </c>
      <c r="AD33" s="3">
        <f t="shared" si="28"/>
        <v>0.01</v>
      </c>
      <c r="AE33" s="3">
        <f t="shared" si="28"/>
        <v>0.01</v>
      </c>
      <c r="AF33" s="15">
        <f t="shared" si="22"/>
        <v>3.5211912101471031E-2</v>
      </c>
      <c r="AG33" s="15">
        <f t="shared" si="22"/>
        <v>3.5211912101471031E-2</v>
      </c>
      <c r="AH33" s="15">
        <f t="shared" ref="AH33:AH35" si="31">SQRT(AF33^2+AG33^2)</f>
        <v>4.9797163650989643E-2</v>
      </c>
      <c r="AI33" s="15">
        <f t="shared" si="24"/>
        <v>7.0312309250328553E-2</v>
      </c>
      <c r="AJ33" s="3">
        <v>0</v>
      </c>
      <c r="AK33" s="22">
        <f t="shared" si="17"/>
        <v>6.5133491492939732E-2</v>
      </c>
      <c r="AL33" s="22">
        <f t="shared" si="18"/>
        <v>2.9588849922563758E-3</v>
      </c>
      <c r="AM33" s="19">
        <f t="shared" si="19"/>
        <v>4.2659741283684249E-3</v>
      </c>
    </row>
    <row r="34" spans="1:39" x14ac:dyDescent="0.25">
      <c r="A34" s="2" t="s">
        <v>78</v>
      </c>
      <c r="B34" s="1" t="s">
        <v>12</v>
      </c>
      <c r="C34" s="3">
        <v>2700</v>
      </c>
      <c r="D34" s="3">
        <v>1.87</v>
      </c>
      <c r="E34" s="3">
        <v>2.59</v>
      </c>
      <c r="F34" s="13">
        <v>0</v>
      </c>
      <c r="G34" s="3">
        <v>20.57</v>
      </c>
      <c r="H34" s="3">
        <v>20.51</v>
      </c>
      <c r="I34" s="3">
        <v>20.64</v>
      </c>
      <c r="J34" s="15">
        <f t="shared" si="3"/>
        <v>20.573333333333334</v>
      </c>
      <c r="K34" s="9">
        <f t="shared" si="25"/>
        <v>4.4183555055671937E-3</v>
      </c>
      <c r="L34" s="7">
        <f t="shared" si="26"/>
        <v>6.5846275629750837</v>
      </c>
      <c r="M34" s="7">
        <f t="shared" si="26"/>
        <v>9.1198852342809982</v>
      </c>
      <c r="N34" s="7">
        <f t="shared" si="29"/>
        <v>15.704512797256083</v>
      </c>
      <c r="O34" s="8">
        <f t="shared" si="21"/>
        <v>16.227800740288465</v>
      </c>
      <c r="P34" s="8">
        <f t="shared" si="27"/>
        <v>15.268140296446393</v>
      </c>
      <c r="Q34" s="7">
        <f t="shared" si="30"/>
        <v>1.6541159418402456</v>
      </c>
      <c r="R34" s="22">
        <f t="shared" si="7"/>
        <v>0.68289886336711481</v>
      </c>
      <c r="S34" s="25">
        <f t="shared" si="8"/>
        <v>0.10833774839135027</v>
      </c>
      <c r="T34" s="19">
        <f t="shared" si="9"/>
        <v>6.5064070986476638E-2</v>
      </c>
      <c r="U34" s="3">
        <f t="shared" si="10"/>
        <v>4.3026527297494637</v>
      </c>
      <c r="V34" s="19">
        <f t="shared" si="11"/>
        <v>0.16162811241750719</v>
      </c>
      <c r="W34" s="3">
        <v>0.1</v>
      </c>
      <c r="X34" s="15">
        <f t="shared" si="12"/>
        <v>0.19006221803305975</v>
      </c>
      <c r="Y34" s="21">
        <f t="shared" si="13"/>
        <v>4.0818006194751229E-5</v>
      </c>
      <c r="Z34" s="15">
        <v>0</v>
      </c>
      <c r="AA34" s="15">
        <v>0</v>
      </c>
      <c r="AB34" s="3">
        <v>0.01</v>
      </c>
      <c r="AC34" s="3">
        <v>0.01</v>
      </c>
      <c r="AD34" s="3">
        <f t="shared" si="28"/>
        <v>0.01</v>
      </c>
      <c r="AE34" s="3">
        <f t="shared" si="28"/>
        <v>0.01</v>
      </c>
      <c r="AF34" s="15">
        <f t="shared" si="22"/>
        <v>3.5211912101471038E-2</v>
      </c>
      <c r="AG34" s="15">
        <f t="shared" si="22"/>
        <v>3.5211912101471038E-2</v>
      </c>
      <c r="AH34" s="15">
        <f t="shared" si="31"/>
        <v>4.9797163650989656E-2</v>
      </c>
      <c r="AI34" s="15">
        <f t="shared" si="24"/>
        <v>5.0727099119465116E-2</v>
      </c>
      <c r="AJ34" s="3">
        <v>0</v>
      </c>
      <c r="AK34" s="22">
        <f t="shared" si="17"/>
        <v>1.5281186558165946E-2</v>
      </c>
      <c r="AL34" s="22">
        <f t="shared" si="18"/>
        <v>2.1346995125833611E-3</v>
      </c>
      <c r="AM34" s="19">
        <f t="shared" si="19"/>
        <v>1.0008544761487808E-3</v>
      </c>
    </row>
    <row r="35" spans="1:39" x14ac:dyDescent="0.25">
      <c r="A35" s="2" t="s">
        <v>78</v>
      </c>
      <c r="B35" s="1" t="s">
        <v>13</v>
      </c>
      <c r="C35" s="3">
        <v>2700</v>
      </c>
      <c r="D35" s="3">
        <v>3.49</v>
      </c>
      <c r="E35" s="3">
        <v>3.56</v>
      </c>
      <c r="F35" s="13">
        <v>0</v>
      </c>
      <c r="G35" s="13">
        <v>0</v>
      </c>
      <c r="H35" s="13">
        <v>0</v>
      </c>
      <c r="I35" s="13">
        <v>0</v>
      </c>
      <c r="J35" s="15">
        <f t="shared" si="3"/>
        <v>0</v>
      </c>
      <c r="K35" s="13">
        <v>0</v>
      </c>
      <c r="L35" s="7">
        <f t="shared" si="26"/>
        <v>12.288957323413394</v>
      </c>
      <c r="M35" s="7">
        <f t="shared" si="26"/>
        <v>12.535440708123687</v>
      </c>
      <c r="N35" s="7">
        <f t="shared" si="29"/>
        <v>24.824398031537079</v>
      </c>
      <c r="O35" s="8">
        <f t="shared" si="21"/>
        <v>24.824398031537079</v>
      </c>
      <c r="P35" s="8">
        <f t="shared" si="27"/>
        <v>15.268140296446393</v>
      </c>
      <c r="Q35" s="7">
        <f t="shared" si="30"/>
        <v>0</v>
      </c>
      <c r="R35" s="22">
        <f t="shared" si="7"/>
        <v>1.0446611633221325</v>
      </c>
      <c r="S35" s="25">
        <f t="shared" si="8"/>
        <v>0</v>
      </c>
      <c r="T35" s="19">
        <f t="shared" si="9"/>
        <v>0</v>
      </c>
      <c r="U35" s="3">
        <f t="shared" si="10"/>
        <v>4.3026527297494637</v>
      </c>
      <c r="V35" s="19">
        <f t="shared" si="11"/>
        <v>0</v>
      </c>
      <c r="W35" s="19">
        <v>0</v>
      </c>
      <c r="X35" s="15">
        <f t="shared" si="12"/>
        <v>0</v>
      </c>
      <c r="Y35" s="15">
        <f t="shared" si="13"/>
        <v>0</v>
      </c>
      <c r="Z35" s="15">
        <v>0</v>
      </c>
      <c r="AA35" s="15">
        <v>0</v>
      </c>
      <c r="AB35" s="3">
        <v>0.01</v>
      </c>
      <c r="AC35" s="3">
        <v>0.01</v>
      </c>
      <c r="AD35" s="3">
        <f t="shared" si="28"/>
        <v>0.01</v>
      </c>
      <c r="AE35" s="3">
        <f t="shared" si="28"/>
        <v>0.01</v>
      </c>
      <c r="AF35" s="15">
        <f t="shared" si="22"/>
        <v>3.5211912101471038E-2</v>
      </c>
      <c r="AG35" s="15">
        <f t="shared" si="22"/>
        <v>3.5211912101471031E-2</v>
      </c>
      <c r="AH35" s="15">
        <f t="shared" si="31"/>
        <v>4.979716365098965E-2</v>
      </c>
      <c r="AI35" s="15">
        <f t="shared" si="24"/>
        <v>4.979716365098965E-2</v>
      </c>
      <c r="AJ35" s="3">
        <v>0</v>
      </c>
      <c r="AK35" s="15">
        <f t="shared" si="17"/>
        <v>0</v>
      </c>
      <c r="AL35" s="22">
        <f t="shared" si="18"/>
        <v>2.0955659365313683E-3</v>
      </c>
      <c r="AM35" s="19">
        <f t="shared" si="19"/>
        <v>0</v>
      </c>
    </row>
    <row r="36" spans="1:39" x14ac:dyDescent="0.25">
      <c r="A36" s="2" t="s">
        <v>63</v>
      </c>
      <c r="B36" s="1" t="s">
        <v>39</v>
      </c>
      <c r="C36" s="3">
        <v>1800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5">
        <f t="shared" ref="J36:J49" si="32">AVERAGE(G36:I36)</f>
        <v>0</v>
      </c>
      <c r="K36" s="10">
        <v>4.0000000000000001E-3</v>
      </c>
      <c r="L36" s="13">
        <f t="shared" ref="L36:L49" si="33">5*D36/($B$2*9.81)*6894.76</f>
        <v>0</v>
      </c>
      <c r="M36" s="13">
        <f t="shared" ref="M36:M49" si="34">5*E36/($B$2*9.81)*6894.76</f>
        <v>0</v>
      </c>
      <c r="N36" s="13">
        <f t="shared" ref="N36:N49" si="35">IF(M36=0, L36, AVERAGE(L36:M36))</f>
        <v>0</v>
      </c>
      <c r="O36" s="7">
        <v>2.58</v>
      </c>
      <c r="P36" s="8">
        <f t="shared" ref="P36:P49" si="36">$B$7/2*2*PI()/60*C36</f>
        <v>10.178760197630929</v>
      </c>
      <c r="Q36" s="8">
        <f t="shared" ref="Q36:Q49" si="37">K36/($B$8*(2*PI()*$B$7/2-$B$10*$B$9))</f>
        <v>1.4974946581424107</v>
      </c>
      <c r="R36" s="22">
        <f t="shared" ref="R36:R49" si="38">O36*9.81/P36^2</f>
        <v>0.24428620768088338</v>
      </c>
      <c r="S36" s="25">
        <f t="shared" ref="S36:S49" si="39">Q36/P36</f>
        <v>0.14711955376362509</v>
      </c>
      <c r="T36" s="19">
        <f t="shared" ref="T36:T49" si="40">_xlfn.STDEV.S(G36:I36)</f>
        <v>0</v>
      </c>
      <c r="U36" s="3">
        <f t="shared" si="10"/>
        <v>4.3026527297494637</v>
      </c>
      <c r="V36" s="19">
        <f t="shared" ref="V36:V49" si="41">T36*U36/SQRT(COUNT(G36:I36))</f>
        <v>0</v>
      </c>
      <c r="W36" s="19">
        <v>0</v>
      </c>
      <c r="X36" s="15">
        <f t="shared" ref="X36:X49" si="42">SQRT(V36^2+W36^2)</f>
        <v>0</v>
      </c>
      <c r="Y36" s="15">
        <f t="shared" ref="Y36:Y49" si="43">IFERROR(K36*(X36/J36), 0)</f>
        <v>0</v>
      </c>
      <c r="Z36" s="15">
        <v>0</v>
      </c>
      <c r="AA36" s="15">
        <v>0</v>
      </c>
      <c r="AB36" s="3">
        <v>0.01</v>
      </c>
      <c r="AC36" s="3">
        <v>0.01</v>
      </c>
      <c r="AD36" s="3">
        <f t="shared" ref="AD36:AD49" si="44">SQRT(Z36^2+AB36^2)</f>
        <v>0.01</v>
      </c>
      <c r="AE36" s="3">
        <f t="shared" ref="AE36:AE49" si="45">SQRT(AA36^2+AC36^2)</f>
        <v>0.01</v>
      </c>
      <c r="AF36" s="15">
        <f t="shared" ref="AF36:AF49" si="46">L36*AD36</f>
        <v>0</v>
      </c>
      <c r="AG36" s="15">
        <f t="shared" ref="AG36:AG49" si="47">M36*AE36</f>
        <v>0</v>
      </c>
      <c r="AH36" s="15">
        <v>0</v>
      </c>
      <c r="AI36" s="15">
        <f t="shared" ref="AI36:AI49" si="48">SQRT(AF36^2+(16*K36/(PI()^2*$B$6^4*9.81)*(1-($B$6/$B$5)^(4))*Y36)^2)</f>
        <v>0</v>
      </c>
      <c r="AJ36" s="3">
        <v>0</v>
      </c>
      <c r="AK36" s="15">
        <f t="shared" ref="AK36:AK49" si="49">IFERROR(Q36*Y36/K36, 0)</f>
        <v>0</v>
      </c>
      <c r="AL36" s="15">
        <f t="shared" ref="AL36:AL49" si="50">R36*AI36/O36</f>
        <v>0</v>
      </c>
      <c r="AM36" s="19">
        <f t="shared" ref="AM36:AM49" si="51">IFERROR(S36*AK36/Q36, 0)</f>
        <v>0</v>
      </c>
    </row>
    <row r="37" spans="1:39" x14ac:dyDescent="0.25">
      <c r="A37" s="2" t="s">
        <v>63</v>
      </c>
      <c r="B37" s="1" t="s">
        <v>39</v>
      </c>
      <c r="C37" s="3">
        <v>1800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5">
        <f t="shared" si="32"/>
        <v>0</v>
      </c>
      <c r="K37" s="10">
        <v>3.3E-3</v>
      </c>
      <c r="L37" s="13">
        <f t="shared" si="33"/>
        <v>0</v>
      </c>
      <c r="M37" s="13">
        <f t="shared" si="34"/>
        <v>0</v>
      </c>
      <c r="N37" s="13">
        <f t="shared" si="35"/>
        <v>0</v>
      </c>
      <c r="O37" s="7">
        <v>4.1399999999999997</v>
      </c>
      <c r="P37" s="8">
        <f t="shared" si="36"/>
        <v>10.178760197630929</v>
      </c>
      <c r="Q37" s="8">
        <f t="shared" si="37"/>
        <v>1.2354330929674888</v>
      </c>
      <c r="R37" s="22">
        <f t="shared" si="38"/>
        <v>0.39199414720885933</v>
      </c>
      <c r="S37" s="25">
        <f t="shared" si="39"/>
        <v>0.12137363185499071</v>
      </c>
      <c r="T37" s="19">
        <f t="shared" si="40"/>
        <v>0</v>
      </c>
      <c r="U37" s="3">
        <f t="shared" si="10"/>
        <v>4.3026527297494637</v>
      </c>
      <c r="V37" s="19">
        <f t="shared" si="41"/>
        <v>0</v>
      </c>
      <c r="W37" s="19">
        <v>0</v>
      </c>
      <c r="X37" s="15">
        <f t="shared" si="42"/>
        <v>0</v>
      </c>
      <c r="Y37" s="15">
        <f t="shared" si="43"/>
        <v>0</v>
      </c>
      <c r="Z37" s="15">
        <v>0</v>
      </c>
      <c r="AA37" s="15">
        <v>0</v>
      </c>
      <c r="AB37" s="3">
        <v>0.01</v>
      </c>
      <c r="AC37" s="3">
        <v>0.01</v>
      </c>
      <c r="AD37" s="3">
        <f t="shared" si="44"/>
        <v>0.01</v>
      </c>
      <c r="AE37" s="3">
        <f t="shared" si="45"/>
        <v>0.01</v>
      </c>
      <c r="AF37" s="15">
        <f t="shared" si="46"/>
        <v>0</v>
      </c>
      <c r="AG37" s="15">
        <f t="shared" si="47"/>
        <v>0</v>
      </c>
      <c r="AH37" s="15">
        <v>0</v>
      </c>
      <c r="AI37" s="15">
        <f t="shared" si="48"/>
        <v>0</v>
      </c>
      <c r="AJ37" s="3">
        <v>0</v>
      </c>
      <c r="AK37" s="15">
        <f t="shared" si="49"/>
        <v>0</v>
      </c>
      <c r="AL37" s="15">
        <f t="shared" si="50"/>
        <v>0</v>
      </c>
      <c r="AM37" s="19">
        <f t="shared" si="51"/>
        <v>0</v>
      </c>
    </row>
    <row r="38" spans="1:39" x14ac:dyDescent="0.25">
      <c r="A38" s="2" t="s">
        <v>63</v>
      </c>
      <c r="B38" s="1" t="s">
        <v>39</v>
      </c>
      <c r="C38" s="3">
        <v>1800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5">
        <f t="shared" si="32"/>
        <v>0</v>
      </c>
      <c r="K38" s="10">
        <v>2.5999999999999999E-3</v>
      </c>
      <c r="L38" s="13">
        <f t="shared" si="33"/>
        <v>0</v>
      </c>
      <c r="M38" s="13">
        <f t="shared" si="34"/>
        <v>0</v>
      </c>
      <c r="N38" s="13">
        <f t="shared" si="35"/>
        <v>0</v>
      </c>
      <c r="O38" s="7">
        <v>4.96</v>
      </c>
      <c r="P38" s="8">
        <f t="shared" si="36"/>
        <v>10.178760197630929</v>
      </c>
      <c r="Q38" s="8">
        <f t="shared" si="37"/>
        <v>0.97337152779256686</v>
      </c>
      <c r="R38" s="22">
        <f t="shared" si="38"/>
        <v>0.46963550003766724</v>
      </c>
      <c r="S38" s="25">
        <f t="shared" si="39"/>
        <v>9.5627709946356304E-2</v>
      </c>
      <c r="T38" s="19">
        <f t="shared" si="40"/>
        <v>0</v>
      </c>
      <c r="U38" s="3">
        <f t="shared" si="10"/>
        <v>4.3026527297494637</v>
      </c>
      <c r="V38" s="19">
        <f t="shared" si="41"/>
        <v>0</v>
      </c>
      <c r="W38" s="19">
        <v>0</v>
      </c>
      <c r="X38" s="15">
        <f t="shared" si="42"/>
        <v>0</v>
      </c>
      <c r="Y38" s="15">
        <f t="shared" si="43"/>
        <v>0</v>
      </c>
      <c r="Z38" s="15">
        <v>0</v>
      </c>
      <c r="AA38" s="15">
        <v>0</v>
      </c>
      <c r="AB38" s="3">
        <v>0.01</v>
      </c>
      <c r="AC38" s="3">
        <v>0.01</v>
      </c>
      <c r="AD38" s="3">
        <f t="shared" si="44"/>
        <v>0.01</v>
      </c>
      <c r="AE38" s="3">
        <f t="shared" si="45"/>
        <v>0.01</v>
      </c>
      <c r="AF38" s="15">
        <f t="shared" si="46"/>
        <v>0</v>
      </c>
      <c r="AG38" s="15">
        <f t="shared" si="47"/>
        <v>0</v>
      </c>
      <c r="AH38" s="15">
        <v>0</v>
      </c>
      <c r="AI38" s="15">
        <f t="shared" si="48"/>
        <v>0</v>
      </c>
      <c r="AJ38" s="3">
        <v>0</v>
      </c>
      <c r="AK38" s="15">
        <f t="shared" si="49"/>
        <v>0</v>
      </c>
      <c r="AL38" s="15">
        <f t="shared" si="50"/>
        <v>0</v>
      </c>
      <c r="AM38" s="19">
        <f t="shared" si="51"/>
        <v>0</v>
      </c>
    </row>
    <row r="39" spans="1:39" x14ac:dyDescent="0.25">
      <c r="A39" s="2" t="s">
        <v>63</v>
      </c>
      <c r="B39" s="1" t="s">
        <v>39</v>
      </c>
      <c r="C39" s="3">
        <v>1800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5">
        <f t="shared" si="32"/>
        <v>0</v>
      </c>
      <c r="K39" s="10">
        <v>2E-3</v>
      </c>
      <c r="L39" s="13">
        <f t="shared" si="33"/>
        <v>0</v>
      </c>
      <c r="M39" s="13">
        <f t="shared" si="34"/>
        <v>0</v>
      </c>
      <c r="N39" s="13">
        <f t="shared" si="35"/>
        <v>0</v>
      </c>
      <c r="O39" s="7">
        <v>5.4</v>
      </c>
      <c r="P39" s="8">
        <f t="shared" si="36"/>
        <v>10.178760197630929</v>
      </c>
      <c r="Q39" s="7">
        <f t="shared" si="37"/>
        <v>0.74874732907120534</v>
      </c>
      <c r="R39" s="22">
        <f t="shared" si="38"/>
        <v>0.51129671375068619</v>
      </c>
      <c r="S39" s="25">
        <f t="shared" si="39"/>
        <v>7.3559776881812547E-2</v>
      </c>
      <c r="T39" s="19">
        <f t="shared" si="40"/>
        <v>0</v>
      </c>
      <c r="U39" s="3">
        <f t="shared" si="10"/>
        <v>4.3026527297494637</v>
      </c>
      <c r="V39" s="19">
        <f t="shared" si="41"/>
        <v>0</v>
      </c>
      <c r="W39" s="19">
        <v>0</v>
      </c>
      <c r="X39" s="15">
        <f t="shared" si="42"/>
        <v>0</v>
      </c>
      <c r="Y39" s="15">
        <f t="shared" si="43"/>
        <v>0</v>
      </c>
      <c r="Z39" s="15">
        <v>0</v>
      </c>
      <c r="AA39" s="15">
        <v>0</v>
      </c>
      <c r="AB39" s="3">
        <v>0.01</v>
      </c>
      <c r="AC39" s="3">
        <v>0.01</v>
      </c>
      <c r="AD39" s="3">
        <f t="shared" si="44"/>
        <v>0.01</v>
      </c>
      <c r="AE39" s="3">
        <f t="shared" si="45"/>
        <v>0.01</v>
      </c>
      <c r="AF39" s="15">
        <f t="shared" si="46"/>
        <v>0</v>
      </c>
      <c r="AG39" s="15">
        <f t="shared" si="47"/>
        <v>0</v>
      </c>
      <c r="AH39" s="15">
        <v>0</v>
      </c>
      <c r="AI39" s="15">
        <f t="shared" si="48"/>
        <v>0</v>
      </c>
      <c r="AJ39" s="3">
        <v>0</v>
      </c>
      <c r="AK39" s="15">
        <f t="shared" si="49"/>
        <v>0</v>
      </c>
      <c r="AL39" s="15">
        <f t="shared" si="50"/>
        <v>0</v>
      </c>
      <c r="AM39" s="19">
        <f t="shared" si="51"/>
        <v>0</v>
      </c>
    </row>
    <row r="40" spans="1:39" x14ac:dyDescent="0.25">
      <c r="A40" s="2" t="s">
        <v>63</v>
      </c>
      <c r="B40" s="1" t="s">
        <v>39</v>
      </c>
      <c r="C40" s="3">
        <v>2700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5">
        <f t="shared" si="32"/>
        <v>0</v>
      </c>
      <c r="K40" s="10">
        <v>6.0000000000000001E-3</v>
      </c>
      <c r="L40" s="13">
        <f t="shared" si="33"/>
        <v>0</v>
      </c>
      <c r="M40" s="13">
        <f t="shared" si="34"/>
        <v>0</v>
      </c>
      <c r="N40" s="13">
        <f t="shared" si="35"/>
        <v>0</v>
      </c>
      <c r="O40" s="7">
        <v>5.77</v>
      </c>
      <c r="P40" s="8">
        <f t="shared" si="36"/>
        <v>15.268140296446393</v>
      </c>
      <c r="Q40" s="8">
        <f t="shared" si="37"/>
        <v>2.2462419872136161</v>
      </c>
      <c r="R40" s="22">
        <f t="shared" si="38"/>
        <v>0.24281333648900894</v>
      </c>
      <c r="S40" s="25">
        <f t="shared" si="39"/>
        <v>0.14711955376362509</v>
      </c>
      <c r="T40" s="19">
        <f t="shared" si="40"/>
        <v>0</v>
      </c>
      <c r="U40" s="3">
        <f t="shared" si="10"/>
        <v>4.3026527297494637</v>
      </c>
      <c r="V40" s="19">
        <f t="shared" si="41"/>
        <v>0</v>
      </c>
      <c r="W40" s="19">
        <v>0</v>
      </c>
      <c r="X40" s="15">
        <f t="shared" si="42"/>
        <v>0</v>
      </c>
      <c r="Y40" s="15">
        <f t="shared" si="43"/>
        <v>0</v>
      </c>
      <c r="Z40" s="15">
        <v>0</v>
      </c>
      <c r="AA40" s="15">
        <v>0</v>
      </c>
      <c r="AB40" s="3">
        <v>0.01</v>
      </c>
      <c r="AC40" s="3">
        <v>0.01</v>
      </c>
      <c r="AD40" s="3">
        <f t="shared" si="44"/>
        <v>0.01</v>
      </c>
      <c r="AE40" s="3">
        <f t="shared" si="45"/>
        <v>0.01</v>
      </c>
      <c r="AF40" s="15">
        <f t="shared" si="46"/>
        <v>0</v>
      </c>
      <c r="AG40" s="15">
        <f t="shared" si="47"/>
        <v>0</v>
      </c>
      <c r="AH40" s="15">
        <v>0</v>
      </c>
      <c r="AI40" s="15">
        <f t="shared" si="48"/>
        <v>0</v>
      </c>
      <c r="AJ40" s="3">
        <v>0</v>
      </c>
      <c r="AK40" s="15">
        <f t="shared" si="49"/>
        <v>0</v>
      </c>
      <c r="AL40" s="15">
        <f t="shared" si="50"/>
        <v>0</v>
      </c>
      <c r="AM40" s="19">
        <f t="shared" si="51"/>
        <v>0</v>
      </c>
    </row>
    <row r="41" spans="1:39" x14ac:dyDescent="0.25">
      <c r="A41" s="2" t="s">
        <v>63</v>
      </c>
      <c r="B41" s="1" t="s">
        <v>39</v>
      </c>
      <c r="C41" s="3">
        <v>2700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5">
        <f t="shared" si="32"/>
        <v>0</v>
      </c>
      <c r="K41" s="10">
        <v>5.0000000000000001E-3</v>
      </c>
      <c r="L41" s="13">
        <f t="shared" si="33"/>
        <v>0</v>
      </c>
      <c r="M41" s="13">
        <f t="shared" si="34"/>
        <v>0</v>
      </c>
      <c r="N41" s="13">
        <f t="shared" si="35"/>
        <v>0</v>
      </c>
      <c r="O41" s="7">
        <v>9.1199999999999992</v>
      </c>
      <c r="P41" s="8">
        <f t="shared" si="36"/>
        <v>15.268140296446393</v>
      </c>
      <c r="Q41" s="8">
        <f t="shared" si="37"/>
        <v>1.8718683226780133</v>
      </c>
      <c r="R41" s="22">
        <f t="shared" si="38"/>
        <v>0.3837881505684162</v>
      </c>
      <c r="S41" s="25">
        <f t="shared" si="39"/>
        <v>0.12259962813635425</v>
      </c>
      <c r="T41" s="19">
        <f t="shared" si="40"/>
        <v>0</v>
      </c>
      <c r="U41" s="3">
        <f t="shared" si="10"/>
        <v>4.3026527297494637</v>
      </c>
      <c r="V41" s="19">
        <f t="shared" si="41"/>
        <v>0</v>
      </c>
      <c r="W41" s="19">
        <v>0</v>
      </c>
      <c r="X41" s="15">
        <f t="shared" si="42"/>
        <v>0</v>
      </c>
      <c r="Y41" s="15">
        <f t="shared" si="43"/>
        <v>0</v>
      </c>
      <c r="Z41" s="15">
        <v>0</v>
      </c>
      <c r="AA41" s="15">
        <v>0</v>
      </c>
      <c r="AB41" s="3">
        <v>0.01</v>
      </c>
      <c r="AC41" s="3">
        <v>0.01</v>
      </c>
      <c r="AD41" s="3">
        <f t="shared" si="44"/>
        <v>0.01</v>
      </c>
      <c r="AE41" s="3">
        <f t="shared" si="45"/>
        <v>0.01</v>
      </c>
      <c r="AF41" s="15">
        <f t="shared" si="46"/>
        <v>0</v>
      </c>
      <c r="AG41" s="15">
        <f t="shared" si="47"/>
        <v>0</v>
      </c>
      <c r="AH41" s="15">
        <v>0</v>
      </c>
      <c r="AI41" s="15">
        <f t="shared" si="48"/>
        <v>0</v>
      </c>
      <c r="AJ41" s="3">
        <v>0</v>
      </c>
      <c r="AK41" s="15">
        <f t="shared" si="49"/>
        <v>0</v>
      </c>
      <c r="AL41" s="15">
        <f t="shared" si="50"/>
        <v>0</v>
      </c>
      <c r="AM41" s="19">
        <f t="shared" si="51"/>
        <v>0</v>
      </c>
    </row>
    <row r="42" spans="1:39" x14ac:dyDescent="0.25">
      <c r="A42" s="2" t="s">
        <v>63</v>
      </c>
      <c r="B42" s="1" t="s">
        <v>39</v>
      </c>
      <c r="C42" s="3">
        <v>2700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5">
        <f t="shared" si="32"/>
        <v>0</v>
      </c>
      <c r="K42" s="10">
        <v>4.0000000000000001E-3</v>
      </c>
      <c r="L42" s="13">
        <f t="shared" si="33"/>
        <v>0</v>
      </c>
      <c r="M42" s="13">
        <f t="shared" si="34"/>
        <v>0</v>
      </c>
      <c r="N42" s="13">
        <f t="shared" si="35"/>
        <v>0</v>
      </c>
      <c r="O42" s="8">
        <v>11</v>
      </c>
      <c r="P42" s="8">
        <f t="shared" si="36"/>
        <v>15.268140296446393</v>
      </c>
      <c r="Q42" s="8">
        <f t="shared" si="37"/>
        <v>1.4974946581424107</v>
      </c>
      <c r="R42" s="22">
        <f t="shared" si="38"/>
        <v>0.46290237458909855</v>
      </c>
      <c r="S42" s="25">
        <f t="shared" si="39"/>
        <v>9.8079702509083391E-2</v>
      </c>
      <c r="T42" s="19">
        <f t="shared" si="40"/>
        <v>0</v>
      </c>
      <c r="U42" s="3">
        <f t="shared" si="10"/>
        <v>4.3026527297494637</v>
      </c>
      <c r="V42" s="19">
        <f t="shared" si="41"/>
        <v>0</v>
      </c>
      <c r="W42" s="19">
        <v>0</v>
      </c>
      <c r="X42" s="15">
        <f t="shared" si="42"/>
        <v>0</v>
      </c>
      <c r="Y42" s="15">
        <f t="shared" si="43"/>
        <v>0</v>
      </c>
      <c r="Z42" s="15">
        <v>0</v>
      </c>
      <c r="AA42" s="15">
        <v>0</v>
      </c>
      <c r="AB42" s="3">
        <v>0.01</v>
      </c>
      <c r="AC42" s="3">
        <v>0.01</v>
      </c>
      <c r="AD42" s="3">
        <f t="shared" si="44"/>
        <v>0.01</v>
      </c>
      <c r="AE42" s="3">
        <f t="shared" si="45"/>
        <v>0.01</v>
      </c>
      <c r="AF42" s="15">
        <f t="shared" si="46"/>
        <v>0</v>
      </c>
      <c r="AG42" s="15">
        <f t="shared" si="47"/>
        <v>0</v>
      </c>
      <c r="AH42" s="15">
        <v>0</v>
      </c>
      <c r="AI42" s="15">
        <f t="shared" si="48"/>
        <v>0</v>
      </c>
      <c r="AJ42" s="3">
        <v>0</v>
      </c>
      <c r="AK42" s="15">
        <f t="shared" si="49"/>
        <v>0</v>
      </c>
      <c r="AL42" s="15">
        <f t="shared" si="50"/>
        <v>0</v>
      </c>
      <c r="AM42" s="19">
        <f t="shared" si="51"/>
        <v>0</v>
      </c>
    </row>
    <row r="43" spans="1:39" x14ac:dyDescent="0.25">
      <c r="A43" s="2" t="s">
        <v>63</v>
      </c>
      <c r="B43" s="1" t="s">
        <v>39</v>
      </c>
      <c r="C43" s="3">
        <v>2700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5">
        <f t="shared" si="32"/>
        <v>0</v>
      </c>
      <c r="K43" s="10">
        <v>3.0000000000000001E-3</v>
      </c>
      <c r="L43" s="13">
        <f t="shared" si="33"/>
        <v>0</v>
      </c>
      <c r="M43" s="13">
        <f t="shared" si="34"/>
        <v>0</v>
      </c>
      <c r="N43" s="13">
        <f t="shared" si="35"/>
        <v>0</v>
      </c>
      <c r="O43" s="8">
        <v>12.1</v>
      </c>
      <c r="P43" s="8">
        <f t="shared" si="36"/>
        <v>15.268140296446393</v>
      </c>
      <c r="Q43" s="8">
        <f t="shared" si="37"/>
        <v>1.1231209936068081</v>
      </c>
      <c r="R43" s="22">
        <f t="shared" si="38"/>
        <v>0.50919261204800836</v>
      </c>
      <c r="S43" s="25">
        <f t="shared" si="39"/>
        <v>7.3559776881812547E-2</v>
      </c>
      <c r="T43" s="19">
        <f t="shared" si="40"/>
        <v>0</v>
      </c>
      <c r="U43" s="3">
        <f t="shared" si="10"/>
        <v>4.3026527297494637</v>
      </c>
      <c r="V43" s="19">
        <f t="shared" si="41"/>
        <v>0</v>
      </c>
      <c r="W43" s="19">
        <v>0</v>
      </c>
      <c r="X43" s="15">
        <f t="shared" si="42"/>
        <v>0</v>
      </c>
      <c r="Y43" s="15">
        <f t="shared" si="43"/>
        <v>0</v>
      </c>
      <c r="Z43" s="15">
        <v>0</v>
      </c>
      <c r="AA43" s="15">
        <v>0</v>
      </c>
      <c r="AB43" s="3">
        <v>0.01</v>
      </c>
      <c r="AC43" s="3">
        <v>0.01</v>
      </c>
      <c r="AD43" s="3">
        <f t="shared" si="44"/>
        <v>0.01</v>
      </c>
      <c r="AE43" s="3">
        <f t="shared" si="45"/>
        <v>0.01</v>
      </c>
      <c r="AF43" s="15">
        <f t="shared" si="46"/>
        <v>0</v>
      </c>
      <c r="AG43" s="15">
        <f t="shared" si="47"/>
        <v>0</v>
      </c>
      <c r="AH43" s="15">
        <v>0</v>
      </c>
      <c r="AI43" s="15">
        <f t="shared" si="48"/>
        <v>0</v>
      </c>
      <c r="AJ43" s="3">
        <v>0</v>
      </c>
      <c r="AK43" s="15">
        <f t="shared" si="49"/>
        <v>0</v>
      </c>
      <c r="AL43" s="15">
        <f t="shared" si="50"/>
        <v>0</v>
      </c>
      <c r="AM43" s="19">
        <f t="shared" si="51"/>
        <v>0</v>
      </c>
    </row>
    <row r="44" spans="1:39" x14ac:dyDescent="0.25">
      <c r="A44" s="2" t="s">
        <v>63</v>
      </c>
      <c r="B44" s="1" t="s">
        <v>39</v>
      </c>
      <c r="C44" s="3">
        <v>2700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5">
        <f t="shared" si="32"/>
        <v>0</v>
      </c>
      <c r="K44" s="10">
        <v>2E-3</v>
      </c>
      <c r="L44" s="13">
        <f t="shared" si="33"/>
        <v>0</v>
      </c>
      <c r="M44" s="13">
        <f t="shared" si="34"/>
        <v>0</v>
      </c>
      <c r="N44" s="13">
        <f t="shared" si="35"/>
        <v>0</v>
      </c>
      <c r="O44" s="8">
        <v>12.8</v>
      </c>
      <c r="P44" s="8">
        <f t="shared" si="36"/>
        <v>15.268140296446393</v>
      </c>
      <c r="Q44" s="7">
        <f t="shared" si="37"/>
        <v>0.74874732907120534</v>
      </c>
      <c r="R44" s="22">
        <f t="shared" si="38"/>
        <v>0.53865003588549654</v>
      </c>
      <c r="S44" s="25">
        <f t="shared" si="39"/>
        <v>4.9039851254541696E-2</v>
      </c>
      <c r="T44" s="19">
        <f t="shared" si="40"/>
        <v>0</v>
      </c>
      <c r="U44" s="3">
        <f t="shared" si="10"/>
        <v>4.3026527297494637</v>
      </c>
      <c r="V44" s="19">
        <f t="shared" si="41"/>
        <v>0</v>
      </c>
      <c r="W44" s="19">
        <v>0</v>
      </c>
      <c r="X44" s="15">
        <f t="shared" si="42"/>
        <v>0</v>
      </c>
      <c r="Y44" s="15">
        <f t="shared" si="43"/>
        <v>0</v>
      </c>
      <c r="Z44" s="15">
        <v>0</v>
      </c>
      <c r="AA44" s="15">
        <v>0</v>
      </c>
      <c r="AB44" s="3">
        <v>0.01</v>
      </c>
      <c r="AC44" s="3">
        <v>0.01</v>
      </c>
      <c r="AD44" s="3">
        <f t="shared" si="44"/>
        <v>0.01</v>
      </c>
      <c r="AE44" s="3">
        <f t="shared" si="45"/>
        <v>0.01</v>
      </c>
      <c r="AF44" s="15">
        <f t="shared" si="46"/>
        <v>0</v>
      </c>
      <c r="AG44" s="15">
        <f t="shared" si="47"/>
        <v>0</v>
      </c>
      <c r="AH44" s="15">
        <v>0</v>
      </c>
      <c r="AI44" s="15">
        <f t="shared" si="48"/>
        <v>0</v>
      </c>
      <c r="AJ44" s="3">
        <v>0</v>
      </c>
      <c r="AK44" s="15">
        <f t="shared" si="49"/>
        <v>0</v>
      </c>
      <c r="AL44" s="15">
        <f t="shared" si="50"/>
        <v>0</v>
      </c>
      <c r="AM44" s="19">
        <f t="shared" si="51"/>
        <v>0</v>
      </c>
    </row>
    <row r="45" spans="1:39" x14ac:dyDescent="0.25">
      <c r="A45" s="2" t="s">
        <v>63</v>
      </c>
      <c r="B45" s="1" t="s">
        <v>39</v>
      </c>
      <c r="C45" s="3">
        <v>3600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5">
        <f t="shared" si="32"/>
        <v>0</v>
      </c>
      <c r="K45" s="10">
        <v>8.0000000000000002E-3</v>
      </c>
      <c r="L45" s="13">
        <f t="shared" si="33"/>
        <v>0</v>
      </c>
      <c r="M45" s="13">
        <f t="shared" si="34"/>
        <v>0</v>
      </c>
      <c r="N45" s="13">
        <f t="shared" si="35"/>
        <v>0</v>
      </c>
      <c r="O45" s="8">
        <v>10.3</v>
      </c>
      <c r="P45" s="8">
        <f t="shared" si="36"/>
        <v>20.357520395261858</v>
      </c>
      <c r="Q45" s="8">
        <f t="shared" si="37"/>
        <v>2.9949893162848213</v>
      </c>
      <c r="R45" s="22">
        <f t="shared" si="38"/>
        <v>0.2438127847977809</v>
      </c>
      <c r="S45" s="25">
        <f t="shared" si="39"/>
        <v>0.14711955376362509</v>
      </c>
      <c r="T45" s="19">
        <f t="shared" si="40"/>
        <v>0</v>
      </c>
      <c r="U45" s="3">
        <f t="shared" si="10"/>
        <v>4.3026527297494637</v>
      </c>
      <c r="V45" s="19">
        <f t="shared" si="41"/>
        <v>0</v>
      </c>
      <c r="W45" s="19">
        <v>0</v>
      </c>
      <c r="X45" s="15">
        <f t="shared" si="42"/>
        <v>0</v>
      </c>
      <c r="Y45" s="15">
        <f t="shared" si="43"/>
        <v>0</v>
      </c>
      <c r="Z45" s="15">
        <v>0</v>
      </c>
      <c r="AA45" s="15">
        <v>0</v>
      </c>
      <c r="AB45" s="3">
        <v>0.01</v>
      </c>
      <c r="AC45" s="3">
        <v>0.01</v>
      </c>
      <c r="AD45" s="3">
        <f t="shared" si="44"/>
        <v>0.01</v>
      </c>
      <c r="AE45" s="3">
        <f t="shared" si="45"/>
        <v>0.01</v>
      </c>
      <c r="AF45" s="15">
        <f t="shared" si="46"/>
        <v>0</v>
      </c>
      <c r="AG45" s="15">
        <f t="shared" si="47"/>
        <v>0</v>
      </c>
      <c r="AH45" s="15">
        <v>0</v>
      </c>
      <c r="AI45" s="15">
        <f t="shared" si="48"/>
        <v>0</v>
      </c>
      <c r="AJ45" s="3">
        <v>0</v>
      </c>
      <c r="AK45" s="15">
        <f t="shared" si="49"/>
        <v>0</v>
      </c>
      <c r="AL45" s="15">
        <f t="shared" si="50"/>
        <v>0</v>
      </c>
      <c r="AM45" s="19">
        <f t="shared" si="51"/>
        <v>0</v>
      </c>
    </row>
    <row r="46" spans="1:39" x14ac:dyDescent="0.25">
      <c r="A46" s="2" t="s">
        <v>63</v>
      </c>
      <c r="B46" s="1" t="s">
        <v>39</v>
      </c>
      <c r="C46" s="3">
        <v>3600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5">
        <f t="shared" si="32"/>
        <v>0</v>
      </c>
      <c r="K46" s="10">
        <v>6.7000000000000002E-3</v>
      </c>
      <c r="L46" s="13">
        <f t="shared" si="33"/>
        <v>0</v>
      </c>
      <c r="M46" s="13">
        <f t="shared" si="34"/>
        <v>0</v>
      </c>
      <c r="N46" s="13">
        <f t="shared" si="35"/>
        <v>0</v>
      </c>
      <c r="O46" s="8">
        <v>16.100000000000001</v>
      </c>
      <c r="P46" s="8">
        <f t="shared" si="36"/>
        <v>20.357520395261858</v>
      </c>
      <c r="Q46" s="8">
        <f t="shared" si="37"/>
        <v>2.5083035523885377</v>
      </c>
      <c r="R46" s="22">
        <f t="shared" si="38"/>
        <v>0.38110542089750221</v>
      </c>
      <c r="S46" s="25">
        <f t="shared" si="39"/>
        <v>0.12321262627703601</v>
      </c>
      <c r="T46" s="19">
        <f t="shared" si="40"/>
        <v>0</v>
      </c>
      <c r="U46" s="3">
        <f t="shared" si="10"/>
        <v>4.3026527297494637</v>
      </c>
      <c r="V46" s="19">
        <f t="shared" si="41"/>
        <v>0</v>
      </c>
      <c r="W46" s="19">
        <v>0</v>
      </c>
      <c r="X46" s="15">
        <f t="shared" si="42"/>
        <v>0</v>
      </c>
      <c r="Y46" s="15">
        <f t="shared" si="43"/>
        <v>0</v>
      </c>
      <c r="Z46" s="15">
        <v>0</v>
      </c>
      <c r="AA46" s="15">
        <v>0</v>
      </c>
      <c r="AB46" s="3">
        <v>0.01</v>
      </c>
      <c r="AC46" s="3">
        <v>0.01</v>
      </c>
      <c r="AD46" s="3">
        <f t="shared" si="44"/>
        <v>0.01</v>
      </c>
      <c r="AE46" s="3">
        <f t="shared" si="45"/>
        <v>0.01</v>
      </c>
      <c r="AF46" s="15">
        <f t="shared" si="46"/>
        <v>0</v>
      </c>
      <c r="AG46" s="15">
        <f t="shared" si="47"/>
        <v>0</v>
      </c>
      <c r="AH46" s="15">
        <v>0</v>
      </c>
      <c r="AI46" s="15">
        <f t="shared" si="48"/>
        <v>0</v>
      </c>
      <c r="AJ46" s="3">
        <v>0</v>
      </c>
      <c r="AK46" s="15">
        <f t="shared" si="49"/>
        <v>0</v>
      </c>
      <c r="AL46" s="15">
        <f t="shared" si="50"/>
        <v>0</v>
      </c>
      <c r="AM46" s="19">
        <f t="shared" si="51"/>
        <v>0</v>
      </c>
    </row>
    <row r="47" spans="1:39" x14ac:dyDescent="0.25">
      <c r="A47" s="2" t="s">
        <v>63</v>
      </c>
      <c r="B47" s="1" t="s">
        <v>39</v>
      </c>
      <c r="C47" s="3">
        <v>3600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5">
        <f t="shared" si="32"/>
        <v>0</v>
      </c>
      <c r="K47" s="10">
        <v>5.4000000000000003E-3</v>
      </c>
      <c r="L47" s="13">
        <f t="shared" si="33"/>
        <v>0</v>
      </c>
      <c r="M47" s="13">
        <f t="shared" si="34"/>
        <v>0</v>
      </c>
      <c r="N47" s="13">
        <f t="shared" si="35"/>
        <v>0</v>
      </c>
      <c r="O47" s="8">
        <v>19.2</v>
      </c>
      <c r="P47" s="8">
        <f t="shared" si="36"/>
        <v>20.357520395261858</v>
      </c>
      <c r="Q47" s="8">
        <f t="shared" si="37"/>
        <v>2.0216177884922546</v>
      </c>
      <c r="R47" s="22">
        <f t="shared" si="38"/>
        <v>0.45448596777838768</v>
      </c>
      <c r="S47" s="25">
        <f t="shared" si="39"/>
        <v>9.9305698790446956E-2</v>
      </c>
      <c r="T47" s="19">
        <f t="shared" si="40"/>
        <v>0</v>
      </c>
      <c r="U47" s="3">
        <f t="shared" si="10"/>
        <v>4.3026527297494637</v>
      </c>
      <c r="V47" s="19">
        <f t="shared" si="41"/>
        <v>0</v>
      </c>
      <c r="W47" s="19">
        <v>0</v>
      </c>
      <c r="X47" s="15">
        <f t="shared" si="42"/>
        <v>0</v>
      </c>
      <c r="Y47" s="15">
        <f t="shared" si="43"/>
        <v>0</v>
      </c>
      <c r="Z47" s="15">
        <v>0</v>
      </c>
      <c r="AA47" s="15">
        <v>0</v>
      </c>
      <c r="AB47" s="3">
        <v>0.01</v>
      </c>
      <c r="AC47" s="3">
        <v>0.01</v>
      </c>
      <c r="AD47" s="3">
        <f t="shared" si="44"/>
        <v>0.01</v>
      </c>
      <c r="AE47" s="3">
        <f t="shared" si="45"/>
        <v>0.01</v>
      </c>
      <c r="AF47" s="15">
        <f t="shared" si="46"/>
        <v>0</v>
      </c>
      <c r="AG47" s="15">
        <f t="shared" si="47"/>
        <v>0</v>
      </c>
      <c r="AH47" s="15">
        <v>0</v>
      </c>
      <c r="AI47" s="15">
        <f t="shared" si="48"/>
        <v>0</v>
      </c>
      <c r="AJ47" s="3">
        <v>0</v>
      </c>
      <c r="AK47" s="15">
        <f t="shared" si="49"/>
        <v>0</v>
      </c>
      <c r="AL47" s="15">
        <f t="shared" si="50"/>
        <v>0</v>
      </c>
      <c r="AM47" s="19">
        <f t="shared" si="51"/>
        <v>0</v>
      </c>
    </row>
    <row r="48" spans="1:39" x14ac:dyDescent="0.25">
      <c r="A48" s="2" t="s">
        <v>63</v>
      </c>
      <c r="B48" s="1" t="s">
        <v>39</v>
      </c>
      <c r="C48" s="3">
        <v>3600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5">
        <f t="shared" si="32"/>
        <v>0</v>
      </c>
      <c r="K48" s="10">
        <v>4.0000000000000001E-3</v>
      </c>
      <c r="L48" s="13">
        <f t="shared" si="33"/>
        <v>0</v>
      </c>
      <c r="M48" s="13">
        <f t="shared" si="34"/>
        <v>0</v>
      </c>
      <c r="N48" s="13">
        <f t="shared" si="35"/>
        <v>0</v>
      </c>
      <c r="O48" s="8">
        <v>21.6</v>
      </c>
      <c r="P48" s="8">
        <f t="shared" si="36"/>
        <v>20.357520395261858</v>
      </c>
      <c r="Q48" s="8">
        <f t="shared" si="37"/>
        <v>1.4974946581424107</v>
      </c>
      <c r="R48" s="22">
        <f t="shared" si="38"/>
        <v>0.51129671375068619</v>
      </c>
      <c r="S48" s="25">
        <f t="shared" si="39"/>
        <v>7.3559776881812547E-2</v>
      </c>
      <c r="T48" s="19">
        <f t="shared" si="40"/>
        <v>0</v>
      </c>
      <c r="U48" s="3">
        <f t="shared" si="10"/>
        <v>4.3026527297494637</v>
      </c>
      <c r="V48" s="19">
        <f t="shared" si="41"/>
        <v>0</v>
      </c>
      <c r="W48" s="19">
        <v>0</v>
      </c>
      <c r="X48" s="15">
        <f t="shared" si="42"/>
        <v>0</v>
      </c>
      <c r="Y48" s="15">
        <f t="shared" si="43"/>
        <v>0</v>
      </c>
      <c r="Z48" s="15">
        <v>0</v>
      </c>
      <c r="AA48" s="15">
        <v>0</v>
      </c>
      <c r="AB48" s="3">
        <v>0.01</v>
      </c>
      <c r="AC48" s="3">
        <v>0.01</v>
      </c>
      <c r="AD48" s="3">
        <f t="shared" si="44"/>
        <v>0.01</v>
      </c>
      <c r="AE48" s="3">
        <f t="shared" si="45"/>
        <v>0.01</v>
      </c>
      <c r="AF48" s="15">
        <f t="shared" si="46"/>
        <v>0</v>
      </c>
      <c r="AG48" s="15">
        <f t="shared" si="47"/>
        <v>0</v>
      </c>
      <c r="AH48" s="15">
        <v>0</v>
      </c>
      <c r="AI48" s="15">
        <f t="shared" si="48"/>
        <v>0</v>
      </c>
      <c r="AJ48" s="3">
        <v>0</v>
      </c>
      <c r="AK48" s="15">
        <f t="shared" si="49"/>
        <v>0</v>
      </c>
      <c r="AL48" s="15">
        <f t="shared" si="50"/>
        <v>0</v>
      </c>
      <c r="AM48" s="19">
        <f t="shared" si="51"/>
        <v>0</v>
      </c>
    </row>
    <row r="49" spans="1:39" x14ac:dyDescent="0.25">
      <c r="A49" s="2" t="s">
        <v>63</v>
      </c>
      <c r="B49" s="1" t="s">
        <v>39</v>
      </c>
      <c r="C49" s="3">
        <v>3600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5">
        <f t="shared" si="32"/>
        <v>0</v>
      </c>
      <c r="K49" s="10">
        <v>2.7000000000000001E-3</v>
      </c>
      <c r="L49" s="13">
        <f t="shared" si="33"/>
        <v>0</v>
      </c>
      <c r="M49" s="13">
        <f t="shared" si="34"/>
        <v>0</v>
      </c>
      <c r="N49" s="13">
        <f t="shared" si="35"/>
        <v>0</v>
      </c>
      <c r="O49" s="8">
        <v>22.8</v>
      </c>
      <c r="P49" s="8">
        <f t="shared" si="36"/>
        <v>20.357520395261858</v>
      </c>
      <c r="Q49" s="8">
        <f t="shared" si="37"/>
        <v>1.0108088942461273</v>
      </c>
      <c r="R49" s="22">
        <f t="shared" si="38"/>
        <v>0.5397020867368354</v>
      </c>
      <c r="S49" s="25">
        <f t="shared" si="39"/>
        <v>4.9652849395223478E-2</v>
      </c>
      <c r="T49" s="19">
        <f t="shared" si="40"/>
        <v>0</v>
      </c>
      <c r="U49" s="3">
        <f t="shared" si="10"/>
        <v>4.3026527297494637</v>
      </c>
      <c r="V49" s="19">
        <f t="shared" si="41"/>
        <v>0</v>
      </c>
      <c r="W49" s="19">
        <v>0</v>
      </c>
      <c r="X49" s="15">
        <f t="shared" si="42"/>
        <v>0</v>
      </c>
      <c r="Y49" s="15">
        <f t="shared" si="43"/>
        <v>0</v>
      </c>
      <c r="Z49" s="15">
        <v>0</v>
      </c>
      <c r="AA49" s="15">
        <v>0</v>
      </c>
      <c r="AB49" s="3">
        <v>0.01</v>
      </c>
      <c r="AC49" s="3">
        <v>0.01</v>
      </c>
      <c r="AD49" s="3">
        <f t="shared" si="44"/>
        <v>0.01</v>
      </c>
      <c r="AE49" s="3">
        <f t="shared" si="45"/>
        <v>0.01</v>
      </c>
      <c r="AF49" s="15">
        <f t="shared" si="46"/>
        <v>0</v>
      </c>
      <c r="AG49" s="15">
        <f t="shared" si="47"/>
        <v>0</v>
      </c>
      <c r="AH49" s="15">
        <v>0</v>
      </c>
      <c r="AI49" s="15">
        <f t="shared" si="48"/>
        <v>0</v>
      </c>
      <c r="AJ49" s="3">
        <v>0</v>
      </c>
      <c r="AK49" s="15">
        <f t="shared" si="49"/>
        <v>0</v>
      </c>
      <c r="AL49" s="15">
        <f t="shared" si="50"/>
        <v>0</v>
      </c>
      <c r="AM49" s="19">
        <f t="shared" si="51"/>
        <v>0</v>
      </c>
    </row>
    <row r="50" spans="1:39" x14ac:dyDescent="0.25">
      <c r="A50" s="1"/>
      <c r="B50" s="1"/>
      <c r="C50" s="6"/>
      <c r="D50" s="6"/>
      <c r="E50" s="6"/>
      <c r="F50" s="6"/>
      <c r="G50" s="6"/>
      <c r="H50" s="6"/>
      <c r="K50" s="33"/>
      <c r="L50" s="33"/>
      <c r="M50" s="8"/>
      <c r="N50" s="8"/>
    </row>
    <row r="51" spans="1:39" x14ac:dyDescent="0.25">
      <c r="A51" s="1"/>
      <c r="B51" s="1"/>
      <c r="C51" s="6"/>
      <c r="D51" s="6"/>
      <c r="E51" s="6"/>
      <c r="F51" s="6"/>
      <c r="G51" s="6"/>
      <c r="H51" s="6"/>
      <c r="M51" s="8"/>
      <c r="N51" s="8"/>
    </row>
    <row r="52" spans="1:39" x14ac:dyDescent="0.25">
      <c r="A52" s="1"/>
      <c r="B52" s="1"/>
      <c r="C52" s="6"/>
      <c r="D52" s="6"/>
      <c r="E52" s="6"/>
      <c r="F52" s="6"/>
      <c r="G52" s="6"/>
      <c r="H52" s="6"/>
      <c r="K52" s="33"/>
      <c r="L52" s="33"/>
      <c r="M52" s="8"/>
      <c r="N52" s="8"/>
    </row>
    <row r="53" spans="1:39" x14ac:dyDescent="0.25">
      <c r="M53" s="8"/>
      <c r="N53" s="8"/>
    </row>
    <row r="54" spans="1:39" x14ac:dyDescent="0.25">
      <c r="M54" s="8"/>
      <c r="N54" s="8"/>
    </row>
    <row r="55" spans="1:39" x14ac:dyDescent="0.25">
      <c r="M55" s="8"/>
      <c r="N55" s="8"/>
    </row>
    <row r="56" spans="1:39" x14ac:dyDescent="0.25">
      <c r="B56" s="2" t="s">
        <v>79</v>
      </c>
      <c r="C56" s="3">
        <f>180-147</f>
        <v>33</v>
      </c>
      <c r="M56" s="8"/>
      <c r="N56" s="8"/>
    </row>
    <row r="57" spans="1:39" x14ac:dyDescent="0.25">
      <c r="A57"/>
      <c r="B57" s="2" t="s">
        <v>80</v>
      </c>
      <c r="C57" s="22">
        <f>_xlfn.COT(RADIANS(C56))</f>
        <v>1.5398649638145827</v>
      </c>
      <c r="M57" s="8"/>
      <c r="N57" s="8"/>
    </row>
    <row r="58" spans="1:39" x14ac:dyDescent="0.25">
      <c r="A58" s="5"/>
      <c r="B58"/>
      <c r="C58" s="26"/>
      <c r="M58" s="8"/>
      <c r="N58" s="8"/>
    </row>
    <row r="59" spans="1:39" x14ac:dyDescent="0.25">
      <c r="A59" s="32"/>
      <c r="B59" s="33"/>
      <c r="C59" s="32"/>
      <c r="D59" s="32"/>
      <c r="E59" s="6"/>
      <c r="F59" s="32"/>
      <c r="G59" s="32"/>
      <c r="H59" s="32"/>
      <c r="K59" s="33"/>
      <c r="L59" s="33"/>
      <c r="M59" s="8"/>
      <c r="N59" s="8"/>
    </row>
    <row r="60" spans="1:39" x14ac:dyDescent="0.25">
      <c r="A60" s="32"/>
      <c r="B60" s="33"/>
      <c r="F60" s="32"/>
      <c r="G60" s="32"/>
      <c r="H60" s="32"/>
      <c r="M60" s="8"/>
      <c r="N60" s="8"/>
    </row>
    <row r="61" spans="1:39" x14ac:dyDescent="0.25">
      <c r="A61" s="32"/>
      <c r="C61" s="33"/>
      <c r="D61" s="33"/>
      <c r="F61" s="33"/>
      <c r="G61" s="33"/>
      <c r="H61" s="33"/>
      <c r="K61" s="33"/>
      <c r="L61" s="33"/>
      <c r="M61" s="8"/>
      <c r="N61" s="8"/>
    </row>
    <row r="62" spans="1:39" x14ac:dyDescent="0.25">
      <c r="M62" s="8"/>
      <c r="N62" s="8"/>
    </row>
    <row r="63" spans="1:39" x14ac:dyDescent="0.25">
      <c r="M63" s="8"/>
      <c r="N63" s="8"/>
    </row>
    <row r="64" spans="1:39" x14ac:dyDescent="0.25">
      <c r="M64" s="8"/>
      <c r="N64" s="8"/>
    </row>
    <row r="65" spans="13:14" x14ac:dyDescent="0.25">
      <c r="M65" s="8"/>
      <c r="N65" s="8"/>
    </row>
  </sheetData>
  <mergeCells count="18">
    <mergeCell ref="AF13:AG13"/>
    <mergeCell ref="G14:I14"/>
    <mergeCell ref="K50:L50"/>
    <mergeCell ref="K52:L52"/>
    <mergeCell ref="D13:E13"/>
    <mergeCell ref="G13:I13"/>
    <mergeCell ref="L13:M13"/>
    <mergeCell ref="Z13:AA13"/>
    <mergeCell ref="AB13:AC13"/>
    <mergeCell ref="AD13:AE13"/>
    <mergeCell ref="A59:A61"/>
    <mergeCell ref="B59:B60"/>
    <mergeCell ref="C59:D59"/>
    <mergeCell ref="F59:H60"/>
    <mergeCell ref="K59:L59"/>
    <mergeCell ref="C61:D61"/>
    <mergeCell ref="F61:H61"/>
    <mergeCell ref="K61:L6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A311-2D6F-44F7-871F-14AF58E6CD82}">
  <dimension ref="A1:AO106"/>
  <sheetViews>
    <sheetView tabSelected="1" topLeftCell="A10" zoomScale="115" zoomScaleNormal="115" workbookViewId="0">
      <selection activeCell="AO41" sqref="AO16:AO41"/>
    </sheetView>
  </sheetViews>
  <sheetFormatPr defaultColWidth="10.85546875" defaultRowHeight="15.75" x14ac:dyDescent="0.25"/>
  <cols>
    <col min="1" max="1" width="21.5703125" style="2" bestFit="1" customWidth="1"/>
    <col min="2" max="2" width="19.28515625" style="2" bestFit="1" customWidth="1"/>
    <col min="3" max="3" width="12.140625" style="3" bestFit="1" customWidth="1"/>
    <col min="4" max="4" width="13.7109375" style="3" bestFit="1" customWidth="1"/>
    <col min="5" max="5" width="10.140625" style="3" bestFit="1" customWidth="1"/>
    <col min="6" max="6" width="12.85546875" style="3" bestFit="1" customWidth="1"/>
    <col min="7" max="8" width="13.7109375" style="3" bestFit="1" customWidth="1"/>
    <col min="9" max="9" width="11.7109375" style="3" bestFit="1" customWidth="1"/>
    <col min="10" max="10" width="13.28515625" style="15" bestFit="1" customWidth="1"/>
    <col min="11" max="11" width="15.5703125" style="3" bestFit="1" customWidth="1"/>
    <col min="12" max="12" width="14.140625" style="3" customWidth="1"/>
    <col min="13" max="13" width="8.140625" style="3" bestFit="1" customWidth="1"/>
    <col min="14" max="14" width="16.5703125" style="3" bestFit="1" customWidth="1"/>
    <col min="15" max="15" width="10" style="3" bestFit="1" customWidth="1"/>
    <col min="16" max="16" width="5.85546875" style="3" bestFit="1" customWidth="1"/>
    <col min="17" max="17" width="7.5703125" style="3" bestFit="1" customWidth="1"/>
    <col min="18" max="18" width="11" style="3" bestFit="1" customWidth="1"/>
    <col min="19" max="19" width="10.5703125" style="3" bestFit="1" customWidth="1"/>
    <col min="20" max="20" width="10.42578125" style="3" bestFit="1" customWidth="1"/>
    <col min="21" max="22" width="7.5703125" style="3" bestFit="1" customWidth="1"/>
    <col min="23" max="23" width="6.85546875" style="3" bestFit="1" customWidth="1"/>
    <col min="24" max="24" width="10.42578125" style="3" bestFit="1" customWidth="1"/>
    <col min="25" max="25" width="32.7109375" style="3" bestFit="1" customWidth="1"/>
    <col min="26" max="27" width="21.42578125" style="3" bestFit="1" customWidth="1"/>
    <col min="28" max="28" width="22.7109375" style="3" bestFit="1" customWidth="1"/>
    <col min="29" max="29" width="12" style="3" bestFit="1" customWidth="1"/>
    <col min="30" max="31" width="14.28515625" style="3" bestFit="1" customWidth="1"/>
    <col min="32" max="33" width="13.5703125" style="3" bestFit="1" customWidth="1"/>
    <col min="34" max="34" width="8.42578125" style="3" bestFit="1" customWidth="1"/>
    <col min="35" max="35" width="10.5703125" style="3" bestFit="1" customWidth="1"/>
    <col min="36" max="36" width="11.28515625" style="3" bestFit="1" customWidth="1"/>
    <col min="37" max="37" width="20" style="3" bestFit="1" customWidth="1"/>
    <col min="38" max="38" width="14.5703125" style="3" bestFit="1" customWidth="1"/>
    <col min="39" max="39" width="10.85546875" style="3"/>
    <col min="40" max="16384" width="10.85546875" style="2"/>
  </cols>
  <sheetData>
    <row r="1" spans="1:41" x14ac:dyDescent="0.25">
      <c r="A1" s="1" t="s">
        <v>1</v>
      </c>
      <c r="B1" s="2">
        <v>5</v>
      </c>
      <c r="C1" s="3" t="s">
        <v>2</v>
      </c>
    </row>
    <row r="2" spans="1:41" x14ac:dyDescent="0.25">
      <c r="A2" s="1" t="s">
        <v>3</v>
      </c>
      <c r="B2" s="2">
        <v>998</v>
      </c>
      <c r="C2" s="3" t="s">
        <v>4</v>
      </c>
    </row>
    <row r="3" spans="1:41" x14ac:dyDescent="0.25">
      <c r="A3" s="1" t="s">
        <v>5</v>
      </c>
      <c r="B3" s="2">
        <v>200</v>
      </c>
      <c r="C3" s="3" t="s">
        <v>6</v>
      </c>
      <c r="D3" s="3">
        <v>90.718500000000006</v>
      </c>
      <c r="E3" s="3" t="s">
        <v>18</v>
      </c>
    </row>
    <row r="4" spans="1:41" x14ac:dyDescent="0.25">
      <c r="A4" s="1" t="s">
        <v>17</v>
      </c>
      <c r="B4" s="2">
        <v>1.502</v>
      </c>
      <c r="C4" s="3" t="s">
        <v>18</v>
      </c>
    </row>
    <row r="5" spans="1:41" x14ac:dyDescent="0.25">
      <c r="A5" s="1" t="s">
        <v>25</v>
      </c>
      <c r="B5" s="2">
        <f>50.8*10^(-3)</f>
        <v>5.0799999999999998E-2</v>
      </c>
      <c r="C5" s="3" t="s">
        <v>35</v>
      </c>
    </row>
    <row r="6" spans="1:41" x14ac:dyDescent="0.25">
      <c r="A6" s="1" t="s">
        <v>26</v>
      </c>
      <c r="B6" s="2">
        <f>38.1*10^(-3)</f>
        <v>3.8100000000000002E-2</v>
      </c>
      <c r="C6" s="3" t="s">
        <v>35</v>
      </c>
    </row>
    <row r="7" spans="1:41" x14ac:dyDescent="0.25">
      <c r="A7" s="1" t="s">
        <v>30</v>
      </c>
      <c r="B7" s="2">
        <v>0.108</v>
      </c>
      <c r="C7" s="3" t="s">
        <v>35</v>
      </c>
      <c r="J7" s="15">
        <f>0.108/2</f>
        <v>5.3999999999999999E-2</v>
      </c>
    </row>
    <row r="8" spans="1:41" x14ac:dyDescent="0.25">
      <c r="A8" s="1" t="s">
        <v>34</v>
      </c>
      <c r="B8" s="2">
        <f>9*10^(-3)</f>
        <v>9.0000000000000011E-3</v>
      </c>
      <c r="C8" s="3" t="s">
        <v>35</v>
      </c>
    </row>
    <row r="9" spans="1:41" x14ac:dyDescent="0.25">
      <c r="A9" s="1" t="s">
        <v>36</v>
      </c>
      <c r="B9" s="2">
        <v>8.5000000000000006E-3</v>
      </c>
      <c r="C9" s="3" t="s">
        <v>35</v>
      </c>
    </row>
    <row r="10" spans="1:41" ht="15.75" customHeight="1" x14ac:dyDescent="0.25">
      <c r="A10" s="1" t="s">
        <v>32</v>
      </c>
      <c r="B10" s="2">
        <v>5</v>
      </c>
      <c r="I10" s="22"/>
    </row>
    <row r="11" spans="1:41" x14ac:dyDescent="0.25">
      <c r="M11" s="11"/>
      <c r="N11" s="11"/>
    </row>
    <row r="12" spans="1:41" x14ac:dyDescent="0.25">
      <c r="B12" s="4"/>
      <c r="M12" s="11"/>
      <c r="N12" s="11"/>
      <c r="Y12" s="3" t="s">
        <v>54</v>
      </c>
      <c r="AK12" s="3" t="s">
        <v>55</v>
      </c>
    </row>
    <row r="13" spans="1:41" x14ac:dyDescent="0.25">
      <c r="D13" s="32" t="s">
        <v>7</v>
      </c>
      <c r="E13" s="32"/>
      <c r="G13" s="33" t="s">
        <v>9</v>
      </c>
      <c r="H13" s="33"/>
      <c r="I13" s="33"/>
      <c r="L13" s="32" t="s">
        <v>24</v>
      </c>
      <c r="M13" s="32"/>
      <c r="R13" s="3" t="s">
        <v>40</v>
      </c>
      <c r="S13" s="23" t="s">
        <v>41</v>
      </c>
      <c r="Z13" s="33" t="s">
        <v>70</v>
      </c>
      <c r="AA13" s="33"/>
      <c r="AB13" s="33" t="s">
        <v>71</v>
      </c>
      <c r="AC13" s="33"/>
      <c r="AD13" s="33" t="s">
        <v>74</v>
      </c>
      <c r="AE13" s="33"/>
      <c r="AF13" s="33" t="s">
        <v>76</v>
      </c>
      <c r="AG13" s="33"/>
      <c r="AO13" s="2" t="s">
        <v>83</v>
      </c>
    </row>
    <row r="14" spans="1:41" s="16" customFormat="1" ht="34.5" customHeight="1" x14ac:dyDescent="0.25">
      <c r="A14" s="16" t="s">
        <v>62</v>
      </c>
      <c r="B14" s="12" t="s">
        <v>61</v>
      </c>
      <c r="C14" s="11" t="s">
        <v>14</v>
      </c>
      <c r="D14" s="17" t="s">
        <v>20</v>
      </c>
      <c r="E14" s="11" t="s">
        <v>21</v>
      </c>
      <c r="F14" s="11" t="s">
        <v>8</v>
      </c>
      <c r="G14" s="34" t="s">
        <v>16</v>
      </c>
      <c r="H14" s="34"/>
      <c r="I14" s="34"/>
      <c r="J14" s="18" t="s">
        <v>23</v>
      </c>
      <c r="K14" s="11" t="s">
        <v>22</v>
      </c>
      <c r="L14" s="17" t="s">
        <v>20</v>
      </c>
      <c r="M14" s="11" t="s">
        <v>21</v>
      </c>
      <c r="N14" s="11" t="s">
        <v>65</v>
      </c>
      <c r="O14" s="11" t="s">
        <v>59</v>
      </c>
      <c r="P14" s="11" t="s">
        <v>27</v>
      </c>
      <c r="Q14" s="11" t="s">
        <v>33</v>
      </c>
      <c r="R14" s="17" t="s">
        <v>38</v>
      </c>
      <c r="S14" s="24" t="s">
        <v>37</v>
      </c>
      <c r="T14" s="17" t="s">
        <v>45</v>
      </c>
      <c r="U14" s="17" t="s">
        <v>46</v>
      </c>
      <c r="V14" s="17" t="s">
        <v>47</v>
      </c>
      <c r="W14" s="17" t="s">
        <v>48</v>
      </c>
      <c r="X14" s="17" t="s">
        <v>49</v>
      </c>
      <c r="Y14" s="17" t="s">
        <v>50</v>
      </c>
      <c r="Z14" s="17" t="s">
        <v>66</v>
      </c>
      <c r="AA14" s="17" t="s">
        <v>67</v>
      </c>
      <c r="AB14" s="17" t="s">
        <v>68</v>
      </c>
      <c r="AC14" s="17" t="s">
        <v>69</v>
      </c>
      <c r="AD14" s="17" t="s">
        <v>72</v>
      </c>
      <c r="AE14" s="17" t="s">
        <v>73</v>
      </c>
      <c r="AF14" s="17" t="s">
        <v>75</v>
      </c>
      <c r="AG14" s="17" t="s">
        <v>77</v>
      </c>
      <c r="AH14" s="17" t="s">
        <v>52</v>
      </c>
      <c r="AI14" s="24" t="s">
        <v>53</v>
      </c>
      <c r="AJ14" s="17" t="s">
        <v>56</v>
      </c>
      <c r="AK14" s="17" t="s">
        <v>57</v>
      </c>
      <c r="AL14" s="17" t="s">
        <v>58</v>
      </c>
      <c r="AM14" s="24" t="s">
        <v>60</v>
      </c>
      <c r="AN14" s="16" t="s">
        <v>84</v>
      </c>
      <c r="AO14" s="16" t="s">
        <v>83</v>
      </c>
    </row>
    <row r="15" spans="1:41" x14ac:dyDescent="0.25">
      <c r="B15" s="3"/>
      <c r="C15" s="3" t="s">
        <v>19</v>
      </c>
      <c r="D15" s="3" t="s">
        <v>0</v>
      </c>
      <c r="E15" s="3" t="s">
        <v>0</v>
      </c>
      <c r="F15" s="3" t="s">
        <v>15</v>
      </c>
      <c r="G15" s="3" t="s">
        <v>42</v>
      </c>
      <c r="H15" s="3" t="s">
        <v>43</v>
      </c>
      <c r="I15" s="3" t="s">
        <v>44</v>
      </c>
      <c r="J15" s="15" t="s">
        <v>16</v>
      </c>
      <c r="K15" s="3" t="s">
        <v>28</v>
      </c>
      <c r="L15" s="3" t="s">
        <v>29</v>
      </c>
      <c r="M15" s="11" t="s">
        <v>29</v>
      </c>
      <c r="N15" s="11" t="s">
        <v>29</v>
      </c>
      <c r="O15" s="3" t="s">
        <v>29</v>
      </c>
      <c r="P15" s="3" t="s">
        <v>31</v>
      </c>
      <c r="Q15" s="3" t="s">
        <v>31</v>
      </c>
      <c r="S15" s="23"/>
      <c r="T15" s="3" t="s">
        <v>16</v>
      </c>
      <c r="V15" s="3" t="s">
        <v>16</v>
      </c>
      <c r="W15" s="3" t="s">
        <v>16</v>
      </c>
      <c r="X15" s="3" t="s">
        <v>16</v>
      </c>
      <c r="Y15" s="3" t="s">
        <v>51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29</v>
      </c>
      <c r="AG15" s="3" t="s">
        <v>29</v>
      </c>
      <c r="AH15" s="3" t="s">
        <v>29</v>
      </c>
      <c r="AI15" s="23" t="s">
        <v>29</v>
      </c>
      <c r="AJ15" s="3" t="s">
        <v>31</v>
      </c>
      <c r="AK15" s="3" t="s">
        <v>31</v>
      </c>
      <c r="AM15" s="23"/>
      <c r="AN15" s="2" t="s">
        <v>85</v>
      </c>
      <c r="AO15" s="2" t="s">
        <v>86</v>
      </c>
    </row>
    <row r="16" spans="1:41" x14ac:dyDescent="0.25">
      <c r="A16" s="2" t="s">
        <v>63</v>
      </c>
      <c r="B16" s="1" t="s">
        <v>10</v>
      </c>
      <c r="C16" s="3">
        <v>1800</v>
      </c>
      <c r="D16" s="7">
        <v>0.75</v>
      </c>
      <c r="E16" s="13">
        <v>0</v>
      </c>
      <c r="F16" s="7">
        <v>8.75</v>
      </c>
      <c r="G16" s="7">
        <v>28.55</v>
      </c>
      <c r="H16" s="7">
        <v>28.99</v>
      </c>
      <c r="I16" s="7">
        <v>28.79</v>
      </c>
      <c r="J16" s="15">
        <f>AVERAGE(G16:I16)</f>
        <v>28.776666666666667</v>
      </c>
      <c r="K16" s="9">
        <f>$D$3/$B$2/J16</f>
        <v>3.1588196664381701E-3</v>
      </c>
      <c r="L16" s="7">
        <f>5*D16/($B$2*9.81)*6894.76</f>
        <v>2.6408934076103274</v>
      </c>
      <c r="M16" s="13">
        <f>5*E16/($B$2*9.81)*6894.76</f>
        <v>0</v>
      </c>
      <c r="N16" s="7">
        <f>IF(M16=0, L16, AVERAGE(L16:M16))</f>
        <v>2.6408934076103274</v>
      </c>
      <c r="O16" s="7">
        <f>N16+8*K16^2/(PI()^2*$B$6^4*9.81)*(1-($B$6/$B$5)^4)</f>
        <v>2.9083597146332694</v>
      </c>
      <c r="P16" s="8">
        <f t="shared" ref="P16:P41" si="0">$B$7/2*2*PI()/60*C16</f>
        <v>10.178760197630929</v>
      </c>
      <c r="Q16" s="8">
        <f t="shared" ref="Q16:Q41" si="1">K16/($B$8*(2*PI()*$B$7/2-$B$10*$B$9))</f>
        <v>1.1825788941315878</v>
      </c>
      <c r="R16" s="22">
        <f>O16*9.81/P16^2</f>
        <v>0.27537680824016186</v>
      </c>
      <c r="S16" s="25">
        <f>Q16/P16</f>
        <v>0.11618103493653666</v>
      </c>
      <c r="T16" s="19">
        <f>_xlfn.STDEV.S(G16:I16)</f>
        <v>0.22030282189144293</v>
      </c>
      <c r="U16" s="10">
        <f>-_xlfn.T.INV(0.025, 2)</f>
        <v>4.3026527297494637</v>
      </c>
      <c r="V16" s="19">
        <f>T16*U16/SQRT(COUNT(G16:I16))</f>
        <v>0.54726254786554984</v>
      </c>
      <c r="W16" s="3">
        <v>0.2</v>
      </c>
      <c r="X16" s="15">
        <f>SQRT(V16^2+W16^2)</f>
        <v>0.58266310703209379</v>
      </c>
      <c r="Y16" s="21">
        <f>IFERROR(K16*(X16/J16), 0)</f>
        <v>6.3959029818172578E-5</v>
      </c>
      <c r="Z16" s="15">
        <v>0</v>
      </c>
      <c r="AA16" s="15">
        <v>0</v>
      </c>
      <c r="AB16" s="3">
        <v>0.01</v>
      </c>
      <c r="AC16" s="3">
        <v>0.01</v>
      </c>
      <c r="AD16" s="3">
        <f>SQRT(Z16^2+AB16^2)</f>
        <v>0.01</v>
      </c>
      <c r="AE16" s="3">
        <f>SQRT(AA16^2+AC16^2)</f>
        <v>0.01</v>
      </c>
      <c r="AF16" s="15">
        <f>L16*AD16/D16</f>
        <v>3.5211912101471031E-2</v>
      </c>
      <c r="AG16" s="15">
        <f>M16*AE16</f>
        <v>0</v>
      </c>
      <c r="AH16" s="15">
        <f>AF16</f>
        <v>3.5211912101471031E-2</v>
      </c>
      <c r="AI16" s="15">
        <f t="shared" ref="AI16:AI26" si="2">SQRT(AH16^2+(16*K16/(PI()^2*$B$6^4*9.81)*(1-($B$6/$B$5)^(4))*Y16)^2)</f>
        <v>3.6840105816510794E-2</v>
      </c>
      <c r="AJ16" s="3">
        <v>0</v>
      </c>
      <c r="AK16" s="22">
        <f>IFERROR(Q16*Y16/K16, 0)</f>
        <v>2.3944576373171149E-2</v>
      </c>
      <c r="AL16" s="22">
        <f>R16*AI16/O16</f>
        <v>3.4881898218906493E-3</v>
      </c>
      <c r="AM16" s="28">
        <f>IFERROR(S16*AK16/Q16, 0)</f>
        <v>2.3524059815009852E-3</v>
      </c>
      <c r="AN16" s="2">
        <f>$B$4*F16/100*9.81</f>
        <v>1.2892792500000001</v>
      </c>
      <c r="AO16" s="2">
        <f>$B$2*9.81*K16*O16/(AN16*C16*2*PI()/60)*100</f>
        <v>37.010451746090069</v>
      </c>
    </row>
    <row r="17" spans="1:41" x14ac:dyDescent="0.25">
      <c r="A17" s="2" t="s">
        <v>63</v>
      </c>
      <c r="B17" s="1" t="s">
        <v>11</v>
      </c>
      <c r="C17" s="3">
        <v>1800</v>
      </c>
      <c r="D17" s="7">
        <v>0.83</v>
      </c>
      <c r="E17" s="13">
        <v>0</v>
      </c>
      <c r="F17" s="7">
        <v>8.5</v>
      </c>
      <c r="G17" s="7">
        <v>30.14</v>
      </c>
      <c r="H17" s="7">
        <v>30.51</v>
      </c>
      <c r="I17" s="7">
        <v>30.16</v>
      </c>
      <c r="J17" s="15">
        <f t="shared" ref="J17:J49" si="3">AVERAGE(G17:I17)</f>
        <v>30.27</v>
      </c>
      <c r="K17" s="9">
        <f>$D$3/$B$2/J17</f>
        <v>3.0029831714966111E-3</v>
      </c>
      <c r="L17" s="7">
        <f t="shared" ref="L17:L44" si="4">5*D17/($B$2*9.81)*6894.76</f>
        <v>2.9225887044220955</v>
      </c>
      <c r="M17" s="13">
        <f t="shared" ref="M17:M44" si="5">5*E17/($B$2*9.81)*6894.76</f>
        <v>0</v>
      </c>
      <c r="N17" s="7">
        <f t="shared" ref="N17:N45" si="6">IF(M17=0, L17, AVERAGE(L17:M17))</f>
        <v>2.9225887044220955</v>
      </c>
      <c r="O17" s="7">
        <f t="shared" ref="O17:O27" si="7">N17+8*K17^2/(PI()^2*$B$6^4*9.81)*(1-($B$6/$B$5)^4)</f>
        <v>3.1643157320369197</v>
      </c>
      <c r="P17" s="8">
        <f t="shared" si="0"/>
        <v>10.178760197630929</v>
      </c>
      <c r="Q17" s="8">
        <f t="shared" si="1"/>
        <v>1.1242378144519325</v>
      </c>
      <c r="R17" s="22">
        <f t="shared" ref="R17:R27" si="8">O17*9.81/P17^2</f>
        <v>0.29961189538149513</v>
      </c>
      <c r="S17" s="25">
        <f t="shared" ref="S17:S41" si="9">Q17/P17</f>
        <v>0.11044938603756427</v>
      </c>
      <c r="T17" s="19">
        <f t="shared" ref="T17:T49" si="10">_xlfn.STDEV.S(G17:I17)</f>
        <v>0.20808652046684881</v>
      </c>
      <c r="U17" s="10">
        <f t="shared" ref="U17:U49" si="11">-_xlfn.T.INV(0.025, 2)</f>
        <v>4.3026527297494637</v>
      </c>
      <c r="V17" s="19">
        <f t="shared" ref="V17:V49" si="12">T17*U17/SQRT(COUNT(G17:I17))</f>
        <v>0.51691557279860623</v>
      </c>
      <c r="W17" s="3">
        <v>0.2</v>
      </c>
      <c r="X17" s="15">
        <f t="shared" ref="X17:X49" si="13">SQRT(V17^2+W17^2)</f>
        <v>0.55425780048792384</v>
      </c>
      <c r="Y17" s="21">
        <f t="shared" ref="Y17:Y49" si="14">IFERROR(K17*(X17/J17), 0)</f>
        <v>5.4986020731283828E-5</v>
      </c>
      <c r="Z17" s="15">
        <v>0</v>
      </c>
      <c r="AA17" s="15">
        <v>0</v>
      </c>
      <c r="AB17" s="3">
        <v>0.01</v>
      </c>
      <c r="AC17" s="3">
        <v>0.01</v>
      </c>
      <c r="AD17" s="3">
        <f t="shared" ref="AD17:AD45" si="15">SQRT(Z17^2+AB17^2)</f>
        <v>0.01</v>
      </c>
      <c r="AE17" s="3">
        <f t="shared" ref="AE17:AE45" si="16">SQRT(AA17^2+AC17^2)</f>
        <v>0.01</v>
      </c>
      <c r="AF17" s="15">
        <f>L17*AD17/D17</f>
        <v>3.5211912101471031E-2</v>
      </c>
      <c r="AG17" s="15">
        <f t="shared" ref="AG17:AG41" si="17">M17*AE17</f>
        <v>0</v>
      </c>
      <c r="AH17" s="15">
        <f t="shared" ref="AH17:AH27" si="18">AF17</f>
        <v>3.5211912101471031E-2</v>
      </c>
      <c r="AI17" s="15">
        <f t="shared" si="2"/>
        <v>3.6307594515548498E-2</v>
      </c>
      <c r="AJ17" s="3">
        <v>0</v>
      </c>
      <c r="AK17" s="22">
        <f t="shared" ref="AK17:AK49" si="19">IFERROR(Q17*Y17/K17, 0)</f>
        <v>2.0585318079401348E-2</v>
      </c>
      <c r="AL17" s="22">
        <f t="shared" ref="AL17:AL49" si="20">R17*AI17/O17</f>
        <v>3.4377692148134039E-3</v>
      </c>
      <c r="AM17" s="28">
        <f t="shared" ref="AM17:AM49" si="21">IFERROR(S17*AK17/Q17, 0)</f>
        <v>2.0223797083059789E-3</v>
      </c>
      <c r="AN17" s="2">
        <f t="shared" ref="AN17:AN27" si="22">$B$4*F17/100*9.81</f>
        <v>1.2524427</v>
      </c>
      <c r="AO17" s="2">
        <f t="shared" ref="AO17:AO27" si="23">$B$2*9.81*K17*O17/(AN17*C17*2*PI()/60)*100</f>
        <v>39.406990455603598</v>
      </c>
    </row>
    <row r="18" spans="1:41" x14ac:dyDescent="0.25">
      <c r="A18" s="2" t="s">
        <v>63</v>
      </c>
      <c r="B18" s="1" t="s">
        <v>12</v>
      </c>
      <c r="C18" s="3">
        <v>1800</v>
      </c>
      <c r="D18" s="7">
        <v>1.43</v>
      </c>
      <c r="E18" s="13">
        <v>0</v>
      </c>
      <c r="F18" s="7">
        <v>7.25</v>
      </c>
      <c r="G18" s="7">
        <v>61.12</v>
      </c>
      <c r="H18" s="7">
        <v>60.8</v>
      </c>
      <c r="I18" s="7">
        <v>60.86</v>
      </c>
      <c r="J18" s="15">
        <f t="shared" si="3"/>
        <v>60.926666666666655</v>
      </c>
      <c r="K18" s="9">
        <f>$D$3/$B$2/J18</f>
        <v>1.4919624784090562E-3</v>
      </c>
      <c r="L18" s="7">
        <f t="shared" si="4"/>
        <v>5.035303430510357</v>
      </c>
      <c r="M18" s="13">
        <f t="shared" si="5"/>
        <v>0</v>
      </c>
      <c r="N18" s="7">
        <f t="shared" si="6"/>
        <v>5.035303430510357</v>
      </c>
      <c r="O18" s="7">
        <f t="shared" si="7"/>
        <v>5.0949705699168666</v>
      </c>
      <c r="P18" s="8">
        <f t="shared" si="0"/>
        <v>10.178760197630929</v>
      </c>
      <c r="Q18" s="8">
        <f t="shared" si="1"/>
        <v>0.55855146039161829</v>
      </c>
      <c r="R18" s="22">
        <f t="shared" si="8"/>
        <v>0.48241513130647301</v>
      </c>
      <c r="S18" s="25">
        <f t="shared" si="9"/>
        <v>5.487421351390312E-2</v>
      </c>
      <c r="T18" s="19">
        <f t="shared" si="10"/>
        <v>0.17009801096230737</v>
      </c>
      <c r="U18" s="10">
        <f t="shared" si="11"/>
        <v>4.3026527297494637</v>
      </c>
      <c r="V18" s="19">
        <f t="shared" si="12"/>
        <v>0.42254688372518895</v>
      </c>
      <c r="W18" s="3">
        <v>0.2</v>
      </c>
      <c r="X18" s="15">
        <f t="shared" si="13"/>
        <v>0.46748889713646502</v>
      </c>
      <c r="Y18" s="21">
        <f t="shared" si="14"/>
        <v>1.1447793417230061E-5</v>
      </c>
      <c r="Z18" s="15">
        <v>0</v>
      </c>
      <c r="AA18" s="15">
        <v>0</v>
      </c>
      <c r="AB18" s="3">
        <v>0.01</v>
      </c>
      <c r="AC18" s="3">
        <v>0.01</v>
      </c>
      <c r="AD18" s="3">
        <f t="shared" si="15"/>
        <v>0.01</v>
      </c>
      <c r="AE18" s="3">
        <f t="shared" si="16"/>
        <v>0.01</v>
      </c>
      <c r="AF18" s="15">
        <f t="shared" ref="AF18:AF27" si="24">L18*AD18/D18</f>
        <v>3.5211912101471031E-2</v>
      </c>
      <c r="AG18" s="15">
        <f t="shared" si="17"/>
        <v>0</v>
      </c>
      <c r="AH18" s="15">
        <f t="shared" si="18"/>
        <v>3.5211912101471031E-2</v>
      </c>
      <c r="AI18" s="15">
        <f t="shared" si="2"/>
        <v>3.5223815341371312E-2</v>
      </c>
      <c r="AJ18" s="3">
        <v>0</v>
      </c>
      <c r="AK18" s="10">
        <f t="shared" si="19"/>
        <v>4.2857523724549674E-3</v>
      </c>
      <c r="AL18" s="22">
        <f t="shared" si="20"/>
        <v>3.3351520425563249E-3</v>
      </c>
      <c r="AM18" s="28">
        <f t="shared" si="21"/>
        <v>4.2104856478026285E-4</v>
      </c>
      <c r="AN18" s="2">
        <f t="shared" si="22"/>
        <v>1.0682599500000001</v>
      </c>
      <c r="AO18" s="2">
        <f t="shared" si="23"/>
        <v>36.959072152593905</v>
      </c>
    </row>
    <row r="19" spans="1:41" x14ac:dyDescent="0.25">
      <c r="A19" s="2" t="s">
        <v>63</v>
      </c>
      <c r="B19" s="1" t="s">
        <v>13</v>
      </c>
      <c r="C19" s="3">
        <v>1800</v>
      </c>
      <c r="D19" s="7">
        <v>1.56</v>
      </c>
      <c r="E19" s="13">
        <v>0</v>
      </c>
      <c r="F19" s="7">
        <v>4.5</v>
      </c>
      <c r="G19" s="13">
        <v>0</v>
      </c>
      <c r="H19" s="13">
        <v>0</v>
      </c>
      <c r="I19" s="13">
        <v>0</v>
      </c>
      <c r="J19" s="15">
        <f t="shared" si="3"/>
        <v>0</v>
      </c>
      <c r="K19" s="13">
        <v>0</v>
      </c>
      <c r="L19" s="7">
        <f t="shared" si="4"/>
        <v>5.4930582878294816</v>
      </c>
      <c r="M19" s="13">
        <f t="shared" si="5"/>
        <v>0</v>
      </c>
      <c r="N19" s="7">
        <f t="shared" si="6"/>
        <v>5.4930582878294816</v>
      </c>
      <c r="O19" s="7">
        <f t="shared" si="7"/>
        <v>5.4930582878294816</v>
      </c>
      <c r="P19" s="8">
        <f t="shared" si="0"/>
        <v>10.178760197630929</v>
      </c>
      <c r="Q19" s="7">
        <f t="shared" si="1"/>
        <v>0</v>
      </c>
      <c r="R19" s="22">
        <f t="shared" si="8"/>
        <v>0.52010789833484894</v>
      </c>
      <c r="S19" s="25">
        <f t="shared" si="9"/>
        <v>0</v>
      </c>
      <c r="T19" s="19">
        <f t="shared" si="10"/>
        <v>0</v>
      </c>
      <c r="U19" s="10">
        <f t="shared" si="11"/>
        <v>4.3026527297494637</v>
      </c>
      <c r="V19" s="19">
        <f t="shared" si="12"/>
        <v>0</v>
      </c>
      <c r="W19" s="19">
        <v>0</v>
      </c>
      <c r="X19" s="15">
        <f t="shared" si="13"/>
        <v>0</v>
      </c>
      <c r="Y19" s="15">
        <f t="shared" si="14"/>
        <v>0</v>
      </c>
      <c r="Z19" s="15">
        <v>0</v>
      </c>
      <c r="AA19" s="15">
        <v>0</v>
      </c>
      <c r="AB19" s="3">
        <v>0.01</v>
      </c>
      <c r="AC19" s="3">
        <v>0.01</v>
      </c>
      <c r="AD19" s="3">
        <f t="shared" si="15"/>
        <v>0.01</v>
      </c>
      <c r="AE19" s="3">
        <f t="shared" si="16"/>
        <v>0.01</v>
      </c>
      <c r="AF19" s="15">
        <f t="shared" si="24"/>
        <v>3.5211912101471038E-2</v>
      </c>
      <c r="AG19" s="15">
        <f t="shared" si="17"/>
        <v>0</v>
      </c>
      <c r="AH19" s="15">
        <f t="shared" si="18"/>
        <v>3.5211912101471038E-2</v>
      </c>
      <c r="AI19" s="15">
        <f t="shared" si="2"/>
        <v>3.5211912101471038E-2</v>
      </c>
      <c r="AJ19" s="3">
        <v>0</v>
      </c>
      <c r="AK19" s="15">
        <f t="shared" si="19"/>
        <v>0</v>
      </c>
      <c r="AL19" s="22">
        <f t="shared" si="20"/>
        <v>3.3340249893259546E-3</v>
      </c>
      <c r="AM19" s="28">
        <f t="shared" si="21"/>
        <v>0</v>
      </c>
      <c r="AN19" s="2">
        <f t="shared" si="22"/>
        <v>0.66305789999999998</v>
      </c>
      <c r="AO19" s="2">
        <f t="shared" si="23"/>
        <v>0</v>
      </c>
    </row>
    <row r="20" spans="1:41" x14ac:dyDescent="0.25">
      <c r="A20" s="2" t="s">
        <v>63</v>
      </c>
      <c r="B20" s="1" t="s">
        <v>10</v>
      </c>
      <c r="C20" s="3">
        <v>2700</v>
      </c>
      <c r="D20" s="7">
        <v>1.5</v>
      </c>
      <c r="E20" s="13">
        <v>0</v>
      </c>
      <c r="F20" s="7">
        <v>16.5</v>
      </c>
      <c r="G20" s="7">
        <v>18.66</v>
      </c>
      <c r="H20" s="7">
        <v>18.93</v>
      </c>
      <c r="I20" s="7">
        <v>18.55</v>
      </c>
      <c r="J20" s="15">
        <f t="shared" si="3"/>
        <v>18.713333333333335</v>
      </c>
      <c r="K20" s="9">
        <f>$D$3/$B$2/J20</f>
        <v>4.857515172846584E-3</v>
      </c>
      <c r="L20" s="7">
        <f t="shared" si="4"/>
        <v>5.2817868152206549</v>
      </c>
      <c r="M20" s="13">
        <f t="shared" si="5"/>
        <v>0</v>
      </c>
      <c r="N20" s="7">
        <f t="shared" si="6"/>
        <v>5.2817868152206549</v>
      </c>
      <c r="O20" s="7">
        <f t="shared" si="7"/>
        <v>5.9142681980939251</v>
      </c>
      <c r="P20" s="8">
        <f t="shared" si="0"/>
        <v>15.268140296446393</v>
      </c>
      <c r="Q20" s="8">
        <f t="shared" si="1"/>
        <v>1.8185257557958669</v>
      </c>
      <c r="R20" s="22">
        <f t="shared" si="8"/>
        <v>0.24888443571404245</v>
      </c>
      <c r="S20" s="25">
        <f t="shared" si="9"/>
        <v>0.11910591077153794</v>
      </c>
      <c r="T20" s="19">
        <f t="shared" si="10"/>
        <v>0.19553345834749905</v>
      </c>
      <c r="U20" s="10">
        <f t="shared" si="11"/>
        <v>4.3026527297494637</v>
      </c>
      <c r="V20" s="19">
        <f t="shared" si="12"/>
        <v>0.48573203778998497</v>
      </c>
      <c r="W20" s="3">
        <v>0.2</v>
      </c>
      <c r="X20" s="15">
        <f t="shared" si="13"/>
        <v>0.52529573816623654</v>
      </c>
      <c r="Y20" s="21">
        <f t="shared" si="14"/>
        <v>1.3635368819241931E-4</v>
      </c>
      <c r="Z20" s="15">
        <v>0</v>
      </c>
      <c r="AA20" s="15">
        <v>0</v>
      </c>
      <c r="AB20" s="3">
        <v>0.01</v>
      </c>
      <c r="AC20" s="3">
        <v>0.01</v>
      </c>
      <c r="AD20" s="3">
        <f t="shared" si="15"/>
        <v>0.01</v>
      </c>
      <c r="AE20" s="3">
        <f t="shared" si="16"/>
        <v>0.01</v>
      </c>
      <c r="AF20" s="15">
        <f t="shared" si="24"/>
        <v>3.5211912101471031E-2</v>
      </c>
      <c r="AG20" s="15">
        <f t="shared" si="17"/>
        <v>0</v>
      </c>
      <c r="AH20" s="15">
        <f t="shared" si="18"/>
        <v>3.5211912101471031E-2</v>
      </c>
      <c r="AI20" s="15">
        <f>SQRT(AH20^2+(16*K20/(PI()^2*$B$6^4*9.81)*(1-($B$6/$B$5)^(4))*Y20)^2)</f>
        <v>5.0007214701646381E-2</v>
      </c>
      <c r="AJ20" s="3">
        <v>0</v>
      </c>
      <c r="AK20" s="22">
        <f t="shared" si="19"/>
        <v>5.1047229921540947E-2</v>
      </c>
      <c r="AL20" s="22">
        <f t="shared" si="20"/>
        <v>2.1044053119980899E-3</v>
      </c>
      <c r="AM20" s="28">
        <f t="shared" si="21"/>
        <v>3.3433822934822006E-3</v>
      </c>
      <c r="AN20" s="2">
        <f t="shared" si="22"/>
        <v>2.4312123000000003</v>
      </c>
      <c r="AO20" s="2">
        <f t="shared" si="23"/>
        <v>40.916592886771006</v>
      </c>
    </row>
    <row r="21" spans="1:41" x14ac:dyDescent="0.25">
      <c r="A21" s="2" t="s">
        <v>63</v>
      </c>
      <c r="B21" s="1" t="s">
        <v>11</v>
      </c>
      <c r="C21" s="3">
        <v>2700</v>
      </c>
      <c r="D21" s="7">
        <v>1.62</v>
      </c>
      <c r="E21" s="13">
        <v>0</v>
      </c>
      <c r="F21" s="7">
        <v>16.5</v>
      </c>
      <c r="G21" s="7">
        <v>19.23</v>
      </c>
      <c r="H21" s="7">
        <v>19.23</v>
      </c>
      <c r="I21" s="7">
        <v>18.96</v>
      </c>
      <c r="J21" s="15">
        <f t="shared" si="3"/>
        <v>19.14</v>
      </c>
      <c r="K21" s="9">
        <f>$D$3/$B$2/J21</f>
        <v>4.7492320063324146E-3</v>
      </c>
      <c r="L21" s="7">
        <f t="shared" si="4"/>
        <v>5.7043297604383083</v>
      </c>
      <c r="M21" s="13">
        <f t="shared" si="5"/>
        <v>0</v>
      </c>
      <c r="N21" s="7">
        <f t="shared" si="6"/>
        <v>5.7043297604383083</v>
      </c>
      <c r="O21" s="7">
        <f t="shared" si="7"/>
        <v>6.3089270373939392</v>
      </c>
      <c r="P21" s="8">
        <f t="shared" si="0"/>
        <v>15.268140296446393</v>
      </c>
      <c r="Q21" s="8">
        <f t="shared" si="1"/>
        <v>1.7779873899404386</v>
      </c>
      <c r="R21" s="22">
        <f t="shared" si="8"/>
        <v>0.26549248242900192</v>
      </c>
      <c r="S21" s="25">
        <f t="shared" si="9"/>
        <v>0.11645081558192513</v>
      </c>
      <c r="T21" s="19">
        <f t="shared" si="10"/>
        <v>0.15588457268119871</v>
      </c>
      <c r="U21" s="10">
        <f t="shared" si="11"/>
        <v>4.3026527297494637</v>
      </c>
      <c r="V21" s="19">
        <f t="shared" si="12"/>
        <v>0.38723874567745109</v>
      </c>
      <c r="W21" s="3">
        <v>0.2</v>
      </c>
      <c r="X21" s="15">
        <f t="shared" si="13"/>
        <v>0.43583694904613773</v>
      </c>
      <c r="Y21" s="21">
        <f t="shared" si="14"/>
        <v>1.0814476426082482E-4</v>
      </c>
      <c r="Z21" s="15">
        <v>0</v>
      </c>
      <c r="AA21" s="15">
        <v>0</v>
      </c>
      <c r="AB21" s="3">
        <v>0.01</v>
      </c>
      <c r="AC21" s="3">
        <v>0.01</v>
      </c>
      <c r="AD21" s="3">
        <f t="shared" si="15"/>
        <v>0.01</v>
      </c>
      <c r="AE21" s="3">
        <f t="shared" si="16"/>
        <v>0.01</v>
      </c>
      <c r="AF21" s="15">
        <f t="shared" si="24"/>
        <v>3.5211912101471038E-2</v>
      </c>
      <c r="AG21" s="15">
        <f t="shared" si="17"/>
        <v>0</v>
      </c>
      <c r="AH21" s="15">
        <f t="shared" si="18"/>
        <v>3.5211912101471038E-2</v>
      </c>
      <c r="AI21" s="15">
        <f t="shared" si="2"/>
        <v>4.4699343234926324E-2</v>
      </c>
      <c r="AJ21" s="3">
        <v>0</v>
      </c>
      <c r="AK21" s="22">
        <f t="shared" si="19"/>
        <v>4.0486551696663868E-2</v>
      </c>
      <c r="AL21" s="22">
        <f t="shared" si="20"/>
        <v>1.8810392841836869E-3</v>
      </c>
      <c r="AM21" s="28">
        <f t="shared" si="21"/>
        <v>2.6517015766541635E-3</v>
      </c>
      <c r="AN21" s="2">
        <f t="shared" si="22"/>
        <v>2.4312123000000003</v>
      </c>
      <c r="AO21" s="2">
        <f t="shared" si="23"/>
        <v>42.673982331632686</v>
      </c>
    </row>
    <row r="22" spans="1:41" x14ac:dyDescent="0.25">
      <c r="A22" s="2" t="s">
        <v>63</v>
      </c>
      <c r="B22" s="1" t="s">
        <v>12</v>
      </c>
      <c r="C22" s="3">
        <v>2700</v>
      </c>
      <c r="D22" s="7">
        <v>2.94</v>
      </c>
      <c r="E22" s="13">
        <v>0</v>
      </c>
      <c r="F22" s="7">
        <v>14.5</v>
      </c>
      <c r="G22" s="7">
        <v>31.15</v>
      </c>
      <c r="H22" s="7">
        <v>31.3</v>
      </c>
      <c r="I22" s="7">
        <v>31.22</v>
      </c>
      <c r="J22" s="15">
        <f t="shared" si="3"/>
        <v>31.223333333333333</v>
      </c>
      <c r="K22" s="9">
        <f>$D$3/$B$2/J22</f>
        <v>2.9112939233864334E-3</v>
      </c>
      <c r="L22" s="8">
        <f t="shared" si="4"/>
        <v>10.352302157832483</v>
      </c>
      <c r="M22" s="13">
        <f t="shared" si="5"/>
        <v>0</v>
      </c>
      <c r="N22" s="8">
        <f t="shared" si="6"/>
        <v>10.352302157832483</v>
      </c>
      <c r="O22" s="8">
        <f t="shared" si="7"/>
        <v>10.579493366851725</v>
      </c>
      <c r="P22" s="8">
        <f t="shared" si="0"/>
        <v>15.268140296446393</v>
      </c>
      <c r="Q22" s="8">
        <f t="shared" si="1"/>
        <v>1.089911774638411</v>
      </c>
      <c r="R22" s="22">
        <f t="shared" si="8"/>
        <v>0.44520660013320734</v>
      </c>
      <c r="S22" s="25">
        <f t="shared" si="9"/>
        <v>7.1384710480560901E-2</v>
      </c>
      <c r="T22" s="19">
        <f t="shared" si="10"/>
        <v>7.5055534994652423E-2</v>
      </c>
      <c r="U22" s="10">
        <f t="shared" si="11"/>
        <v>4.3026527297494637</v>
      </c>
      <c r="V22" s="19">
        <f t="shared" si="12"/>
        <v>0.18644828495581278</v>
      </c>
      <c r="W22" s="3">
        <v>0.2</v>
      </c>
      <c r="X22" s="15">
        <f t="shared" si="13"/>
        <v>0.27342816783017065</v>
      </c>
      <c r="Y22" s="21">
        <f t="shared" si="14"/>
        <v>2.5494707915661208E-5</v>
      </c>
      <c r="Z22" s="15">
        <v>0</v>
      </c>
      <c r="AA22" s="15">
        <v>0</v>
      </c>
      <c r="AB22" s="3">
        <v>0.01</v>
      </c>
      <c r="AC22" s="3">
        <v>0.01</v>
      </c>
      <c r="AD22" s="3">
        <f t="shared" si="15"/>
        <v>0.01</v>
      </c>
      <c r="AE22" s="3">
        <f t="shared" si="16"/>
        <v>0.01</v>
      </c>
      <c r="AF22" s="15">
        <f t="shared" si="24"/>
        <v>3.5211912101471031E-2</v>
      </c>
      <c r="AG22" s="15">
        <f t="shared" si="17"/>
        <v>0</v>
      </c>
      <c r="AH22" s="15">
        <f t="shared" si="18"/>
        <v>3.5211912101471031E-2</v>
      </c>
      <c r="AI22" s="15">
        <f t="shared" si="2"/>
        <v>3.543602740374957E-2</v>
      </c>
      <c r="AJ22" s="3">
        <v>0</v>
      </c>
      <c r="AK22" s="22">
        <f t="shared" si="19"/>
        <v>9.5445472286509216E-3</v>
      </c>
      <c r="AL22" s="22">
        <f t="shared" si="20"/>
        <v>1.491220111927277E-3</v>
      </c>
      <c r="AM22" s="29">
        <f t="shared" si="21"/>
        <v>6.251283419810062E-4</v>
      </c>
      <c r="AN22" s="2">
        <f t="shared" si="22"/>
        <v>2.1365199000000001</v>
      </c>
      <c r="AO22" s="2">
        <f t="shared" si="23"/>
        <v>49.917307149111032</v>
      </c>
    </row>
    <row r="23" spans="1:41" x14ac:dyDescent="0.25">
      <c r="A23" s="2" t="s">
        <v>63</v>
      </c>
      <c r="B23" s="1" t="s">
        <v>13</v>
      </c>
      <c r="C23" s="3">
        <v>2700</v>
      </c>
      <c r="D23" s="7">
        <v>3.52</v>
      </c>
      <c r="E23" s="13">
        <v>0</v>
      </c>
      <c r="F23" s="7">
        <v>8.5</v>
      </c>
      <c r="G23" s="13">
        <v>0</v>
      </c>
      <c r="H23" s="13">
        <v>0</v>
      </c>
      <c r="I23" s="13">
        <v>0</v>
      </c>
      <c r="J23" s="15">
        <f t="shared" si="3"/>
        <v>0</v>
      </c>
      <c r="K23" s="13">
        <v>0</v>
      </c>
      <c r="L23" s="8">
        <f t="shared" si="4"/>
        <v>12.394593059717804</v>
      </c>
      <c r="M23" s="13">
        <f t="shared" si="5"/>
        <v>0</v>
      </c>
      <c r="N23" s="8">
        <f t="shared" si="6"/>
        <v>12.394593059717804</v>
      </c>
      <c r="O23" s="8">
        <f t="shared" si="7"/>
        <v>12.394593059717804</v>
      </c>
      <c r="P23" s="8">
        <f t="shared" si="0"/>
        <v>15.268140296446393</v>
      </c>
      <c r="Q23" s="7">
        <f t="shared" si="1"/>
        <v>0</v>
      </c>
      <c r="R23" s="22">
        <f t="shared" si="8"/>
        <v>0.52158968721899379</v>
      </c>
      <c r="S23" s="25">
        <f t="shared" si="9"/>
        <v>0</v>
      </c>
      <c r="T23" s="19">
        <f t="shared" si="10"/>
        <v>0</v>
      </c>
      <c r="U23" s="10">
        <f t="shared" si="11"/>
        <v>4.3026527297494637</v>
      </c>
      <c r="V23" s="19">
        <f t="shared" si="12"/>
        <v>0</v>
      </c>
      <c r="W23" s="19">
        <v>0</v>
      </c>
      <c r="X23" s="15">
        <f t="shared" si="13"/>
        <v>0</v>
      </c>
      <c r="Y23" s="15">
        <f t="shared" si="14"/>
        <v>0</v>
      </c>
      <c r="Z23" s="15">
        <v>0</v>
      </c>
      <c r="AA23" s="15">
        <v>0</v>
      </c>
      <c r="AB23" s="3">
        <v>0.01</v>
      </c>
      <c r="AC23" s="3">
        <v>0.01</v>
      </c>
      <c r="AD23" s="3">
        <f t="shared" si="15"/>
        <v>0.01</v>
      </c>
      <c r="AE23" s="3">
        <f t="shared" si="16"/>
        <v>0.01</v>
      </c>
      <c r="AF23" s="15">
        <f t="shared" si="24"/>
        <v>3.5211912101471038E-2</v>
      </c>
      <c r="AG23" s="15">
        <f t="shared" si="17"/>
        <v>0</v>
      </c>
      <c r="AH23" s="15">
        <f t="shared" si="18"/>
        <v>3.5211912101471038E-2</v>
      </c>
      <c r="AI23" s="15">
        <f t="shared" si="2"/>
        <v>3.5211912101471038E-2</v>
      </c>
      <c r="AJ23" s="3">
        <v>0</v>
      </c>
      <c r="AK23" s="15">
        <f t="shared" si="19"/>
        <v>0</v>
      </c>
      <c r="AL23" s="22">
        <f t="shared" si="20"/>
        <v>1.4817888841448688E-3</v>
      </c>
      <c r="AM23" s="28">
        <f t="shared" si="21"/>
        <v>0</v>
      </c>
      <c r="AN23" s="2">
        <f t="shared" si="22"/>
        <v>1.2524427</v>
      </c>
      <c r="AO23" s="2">
        <f t="shared" si="23"/>
        <v>0</v>
      </c>
    </row>
    <row r="24" spans="1:41" x14ac:dyDescent="0.25">
      <c r="A24" s="2" t="s">
        <v>63</v>
      </c>
      <c r="B24" s="1" t="s">
        <v>10</v>
      </c>
      <c r="C24" s="3">
        <v>3600</v>
      </c>
      <c r="D24" s="7">
        <v>2.44</v>
      </c>
      <c r="E24" s="13">
        <v>0</v>
      </c>
      <c r="F24" s="7">
        <v>26.5</v>
      </c>
      <c r="G24" s="7">
        <v>14.13</v>
      </c>
      <c r="H24" s="7">
        <v>13.93</v>
      </c>
      <c r="I24" s="7">
        <v>14.06</v>
      </c>
      <c r="J24" s="15">
        <f t="shared" si="3"/>
        <v>14.040000000000001</v>
      </c>
      <c r="K24" s="9">
        <f>$D$3/$B$2/J24</f>
        <v>6.4743803847010263E-3</v>
      </c>
      <c r="L24" s="7">
        <f t="shared" si="4"/>
        <v>8.5917065527589305</v>
      </c>
      <c r="M24" s="13">
        <f t="shared" si="5"/>
        <v>0</v>
      </c>
      <c r="N24" s="7">
        <f t="shared" si="6"/>
        <v>8.5917065527589305</v>
      </c>
      <c r="O24" s="7">
        <f t="shared" si="7"/>
        <v>9.7153171799099631</v>
      </c>
      <c r="P24" s="8">
        <f t="shared" si="0"/>
        <v>20.357520395261858</v>
      </c>
      <c r="Q24" s="8">
        <f t="shared" si="1"/>
        <v>2.4238375102179481</v>
      </c>
      <c r="R24" s="22">
        <f t="shared" si="8"/>
        <v>0.229972673478405</v>
      </c>
      <c r="S24" s="25">
        <f t="shared" si="9"/>
        <v>0.1190634941366478</v>
      </c>
      <c r="T24" s="19">
        <f t="shared" si="10"/>
        <v>0.10148891565092275</v>
      </c>
      <c r="U24" s="10">
        <f t="shared" si="11"/>
        <v>4.3026527297494637</v>
      </c>
      <c r="V24" s="19">
        <f t="shared" si="12"/>
        <v>0.25211244269310562</v>
      </c>
      <c r="W24" s="3">
        <v>0.2</v>
      </c>
      <c r="X24" s="15">
        <f t="shared" si="13"/>
        <v>0.321808458186985</v>
      </c>
      <c r="Y24" s="21">
        <f t="shared" si="14"/>
        <v>1.4839817445275611E-4</v>
      </c>
      <c r="Z24" s="15">
        <v>0</v>
      </c>
      <c r="AA24" s="15">
        <v>0</v>
      </c>
      <c r="AB24" s="3">
        <v>0.01</v>
      </c>
      <c r="AC24" s="3">
        <v>0.01</v>
      </c>
      <c r="AD24" s="3">
        <f t="shared" si="15"/>
        <v>0.01</v>
      </c>
      <c r="AE24" s="3">
        <f t="shared" si="16"/>
        <v>0.01</v>
      </c>
      <c r="AF24" s="15">
        <f t="shared" si="24"/>
        <v>3.5211912101471031E-2</v>
      </c>
      <c r="AG24" s="15">
        <f t="shared" si="17"/>
        <v>0</v>
      </c>
      <c r="AH24" s="15">
        <f t="shared" si="18"/>
        <v>3.5211912101471031E-2</v>
      </c>
      <c r="AI24" s="15">
        <f>SQRT(AH24^2+(16*K24/(PI()^2*$B$6^4*9.81)*(1-($B$6/$B$5)^(4))*Y24)^2)</f>
        <v>6.2393678094612104E-2</v>
      </c>
      <c r="AJ24" s="3">
        <v>0</v>
      </c>
      <c r="AK24" s="22">
        <f t="shared" si="19"/>
        <v>5.5556368380271962E-2</v>
      </c>
      <c r="AL24" s="22">
        <f t="shared" si="20"/>
        <v>1.4769297485459881E-3</v>
      </c>
      <c r="AM24" s="28">
        <f t="shared" si="21"/>
        <v>2.729034150603259E-3</v>
      </c>
      <c r="AN24" s="2">
        <f t="shared" si="22"/>
        <v>3.9046742999999999</v>
      </c>
      <c r="AO24" s="2">
        <f t="shared" si="23"/>
        <v>41.834907330788297</v>
      </c>
    </row>
    <row r="25" spans="1:41" x14ac:dyDescent="0.25">
      <c r="A25" s="2" t="s">
        <v>63</v>
      </c>
      <c r="B25" s="1" t="s">
        <v>11</v>
      </c>
      <c r="C25" s="3">
        <v>3600</v>
      </c>
      <c r="D25" s="7">
        <v>2.89</v>
      </c>
      <c r="E25" s="13">
        <v>0</v>
      </c>
      <c r="F25" s="7">
        <v>26.5</v>
      </c>
      <c r="G25" s="7">
        <v>15.04</v>
      </c>
      <c r="H25" s="7">
        <v>14.35</v>
      </c>
      <c r="I25" s="7">
        <v>14.31</v>
      </c>
      <c r="J25" s="15">
        <f t="shared" si="3"/>
        <v>14.566666666666668</v>
      </c>
      <c r="K25" s="9">
        <f>$D$3/$B$2/J25</f>
        <v>6.2402952357804853E-3</v>
      </c>
      <c r="L25" s="8">
        <f t="shared" si="4"/>
        <v>10.17624259732513</v>
      </c>
      <c r="M25" s="13">
        <f t="shared" si="5"/>
        <v>0</v>
      </c>
      <c r="N25" s="8">
        <f t="shared" si="6"/>
        <v>10.17624259732513</v>
      </c>
      <c r="O25" s="8">
        <f t="shared" si="7"/>
        <v>11.220072392427547</v>
      </c>
      <c r="P25" s="8">
        <f t="shared" si="0"/>
        <v>20.357520395261858</v>
      </c>
      <c r="Q25" s="8">
        <f t="shared" si="1"/>
        <v>2.336202195203203</v>
      </c>
      <c r="R25" s="22">
        <f t="shared" si="8"/>
        <v>0.2655919510320835</v>
      </c>
      <c r="S25" s="25">
        <f t="shared" si="9"/>
        <v>0.11475868130516259</v>
      </c>
      <c r="T25" s="19">
        <f t="shared" si="10"/>
        <v>0.41040630274562412</v>
      </c>
      <c r="U25" s="10">
        <f t="shared" si="11"/>
        <v>4.3026527297494637</v>
      </c>
      <c r="V25" s="19">
        <f t="shared" si="12"/>
        <v>1.0195057737904283</v>
      </c>
      <c r="W25" s="3">
        <v>0.2</v>
      </c>
      <c r="X25" s="15">
        <f t="shared" si="13"/>
        <v>1.0389379301921842</v>
      </c>
      <c r="Y25" s="21">
        <f t="shared" si="14"/>
        <v>4.4507639011784382E-4</v>
      </c>
      <c r="Z25" s="15">
        <v>0</v>
      </c>
      <c r="AA25" s="15">
        <v>0</v>
      </c>
      <c r="AB25" s="3">
        <v>0.01</v>
      </c>
      <c r="AC25" s="3">
        <v>0.01</v>
      </c>
      <c r="AD25" s="3">
        <f t="shared" si="15"/>
        <v>0.01</v>
      </c>
      <c r="AE25" s="3">
        <f t="shared" si="16"/>
        <v>0.01</v>
      </c>
      <c r="AF25" s="15">
        <f t="shared" si="24"/>
        <v>3.5211912101471038E-2</v>
      </c>
      <c r="AG25" s="15">
        <f t="shared" si="17"/>
        <v>0</v>
      </c>
      <c r="AH25" s="15">
        <f t="shared" si="18"/>
        <v>3.5211912101471038E-2</v>
      </c>
      <c r="AI25" s="14">
        <f>SQRT(AH25^2+(16*K25/(PI()^2*$B$6^4*9.81)*(1-($B$6/$B$5)^(4))*Y25)^2)</f>
        <v>0.15300495970901143</v>
      </c>
      <c r="AJ25" s="3">
        <v>0</v>
      </c>
      <c r="AK25" s="7">
        <f t="shared" si="19"/>
        <v>0.16662487916669469</v>
      </c>
      <c r="AL25" s="22">
        <f t="shared" si="20"/>
        <v>3.6218024577210038E-3</v>
      </c>
      <c r="AM25" s="28">
        <f t="shared" si="21"/>
        <v>8.1849299881077871E-3</v>
      </c>
      <c r="AN25" s="2">
        <f t="shared" si="22"/>
        <v>3.9046742999999999</v>
      </c>
      <c r="AO25" s="2">
        <f t="shared" si="23"/>
        <v>46.567659646009965</v>
      </c>
    </row>
    <row r="26" spans="1:41" x14ac:dyDescent="0.25">
      <c r="A26" s="2" t="s">
        <v>63</v>
      </c>
      <c r="B26" s="1" t="s">
        <v>12</v>
      </c>
      <c r="C26" s="3">
        <v>3600</v>
      </c>
      <c r="D26" s="7">
        <v>5.85</v>
      </c>
      <c r="E26" s="13">
        <v>0</v>
      </c>
      <c r="F26" s="7">
        <v>20</v>
      </c>
      <c r="G26" s="7">
        <v>37.01</v>
      </c>
      <c r="H26" s="7">
        <v>37.04</v>
      </c>
      <c r="I26" s="7">
        <v>37.07</v>
      </c>
      <c r="J26" s="15">
        <f t="shared" si="3"/>
        <v>37.04</v>
      </c>
      <c r="K26" s="9">
        <f>$D$3/$B$2/J26</f>
        <v>2.454111787289482E-3</v>
      </c>
      <c r="L26" s="8">
        <f t="shared" si="4"/>
        <v>20.598968579360555</v>
      </c>
      <c r="M26" s="13">
        <f t="shared" si="5"/>
        <v>0</v>
      </c>
      <c r="N26" s="8">
        <f t="shared" si="6"/>
        <v>20.598968579360555</v>
      </c>
      <c r="O26" s="8">
        <f t="shared" si="7"/>
        <v>20.76040744514296</v>
      </c>
      <c r="P26" s="8">
        <f t="shared" si="0"/>
        <v>20.357520395261858</v>
      </c>
      <c r="Q26" s="8">
        <f t="shared" si="1"/>
        <v>0.91875482298758082</v>
      </c>
      <c r="R26" s="22">
        <f t="shared" si="8"/>
        <v>0.49142259735309596</v>
      </c>
      <c r="S26" s="25">
        <f t="shared" si="9"/>
        <v>4.5130978879010131E-2</v>
      </c>
      <c r="T26" s="19">
        <f t="shared" si="10"/>
        <v>3.0000000000001137E-2</v>
      </c>
      <c r="U26" s="10">
        <f t="shared" si="11"/>
        <v>4.3026527297494637</v>
      </c>
      <c r="V26" s="19">
        <f t="shared" si="12"/>
        <v>7.4524131352512762E-2</v>
      </c>
      <c r="W26" s="3">
        <v>0.2</v>
      </c>
      <c r="X26" s="15">
        <f t="shared" si="13"/>
        <v>0.21343347008809696</v>
      </c>
      <c r="Y26" s="21">
        <f t="shared" si="14"/>
        <v>1.414118776310194E-5</v>
      </c>
      <c r="Z26" s="15">
        <v>0</v>
      </c>
      <c r="AA26" s="15">
        <v>0</v>
      </c>
      <c r="AB26" s="3">
        <v>0.01</v>
      </c>
      <c r="AC26" s="3">
        <v>0.01</v>
      </c>
      <c r="AD26" s="3">
        <f t="shared" si="15"/>
        <v>0.01</v>
      </c>
      <c r="AE26" s="3">
        <f t="shared" si="16"/>
        <v>0.01</v>
      </c>
      <c r="AF26" s="15">
        <f t="shared" si="24"/>
        <v>3.5211912101471038E-2</v>
      </c>
      <c r="AG26" s="15">
        <f t="shared" si="17"/>
        <v>0</v>
      </c>
      <c r="AH26" s="15">
        <f t="shared" si="18"/>
        <v>3.5211912101471038E-2</v>
      </c>
      <c r="AI26" s="15">
        <f t="shared" si="2"/>
        <v>3.526102967236603E-2</v>
      </c>
      <c r="AJ26" s="3">
        <v>0</v>
      </c>
      <c r="AK26" s="10">
        <f t="shared" si="19"/>
        <v>5.2940882837584947E-3</v>
      </c>
      <c r="AL26" s="22">
        <f t="shared" si="20"/>
        <v>8.3466891643269373E-4</v>
      </c>
      <c r="AM26" s="29">
        <f t="shared" si="21"/>
        <v>2.6005565417439914E-4</v>
      </c>
      <c r="AN26" s="2">
        <f t="shared" si="22"/>
        <v>2.9469240000000001</v>
      </c>
      <c r="AO26" s="2">
        <f t="shared" si="23"/>
        <v>44.898280449625048</v>
      </c>
    </row>
    <row r="27" spans="1:41" x14ac:dyDescent="0.25">
      <c r="A27" s="2" t="s">
        <v>63</v>
      </c>
      <c r="B27" s="1" t="s">
        <v>13</v>
      </c>
      <c r="C27" s="3">
        <v>3600</v>
      </c>
      <c r="D27" s="7">
        <v>6.18</v>
      </c>
      <c r="E27" s="13">
        <v>0</v>
      </c>
      <c r="F27" s="7">
        <v>13</v>
      </c>
      <c r="G27" s="13">
        <v>0</v>
      </c>
      <c r="H27" s="13">
        <v>0</v>
      </c>
      <c r="I27" s="13">
        <v>0</v>
      </c>
      <c r="J27" s="15">
        <f t="shared" si="3"/>
        <v>0</v>
      </c>
      <c r="K27" s="13">
        <v>0</v>
      </c>
      <c r="L27" s="8">
        <f t="shared" si="4"/>
        <v>21.760961678709098</v>
      </c>
      <c r="M27" s="13">
        <f t="shared" si="5"/>
        <v>0</v>
      </c>
      <c r="N27" s="8">
        <f t="shared" si="6"/>
        <v>21.760961678709098</v>
      </c>
      <c r="O27" s="8">
        <f t="shared" si="7"/>
        <v>21.760961678709098</v>
      </c>
      <c r="P27" s="8">
        <f t="shared" si="0"/>
        <v>20.357520395261858</v>
      </c>
      <c r="Q27" s="7">
        <f t="shared" si="1"/>
        <v>0</v>
      </c>
      <c r="R27" s="22">
        <f t="shared" si="8"/>
        <v>0.51510686085085999</v>
      </c>
      <c r="S27" s="25">
        <f t="shared" si="9"/>
        <v>0</v>
      </c>
      <c r="T27" s="19">
        <f t="shared" si="10"/>
        <v>0</v>
      </c>
      <c r="U27" s="10">
        <f t="shared" si="11"/>
        <v>4.3026527297494637</v>
      </c>
      <c r="V27" s="19">
        <f t="shared" si="12"/>
        <v>0</v>
      </c>
      <c r="W27" s="19">
        <v>0</v>
      </c>
      <c r="X27" s="15">
        <f t="shared" si="13"/>
        <v>0</v>
      </c>
      <c r="Y27" s="15">
        <f t="shared" si="14"/>
        <v>0</v>
      </c>
      <c r="Z27" s="15">
        <v>0</v>
      </c>
      <c r="AA27" s="15">
        <v>0</v>
      </c>
      <c r="AB27" s="3">
        <v>0.01</v>
      </c>
      <c r="AC27" s="3">
        <v>0.01</v>
      </c>
      <c r="AD27" s="3">
        <f t="shared" si="15"/>
        <v>0.01</v>
      </c>
      <c r="AE27" s="3">
        <f t="shared" si="16"/>
        <v>0.01</v>
      </c>
      <c r="AF27" s="15">
        <f t="shared" si="24"/>
        <v>3.5211912101471031E-2</v>
      </c>
      <c r="AG27" s="15">
        <f t="shared" si="17"/>
        <v>0</v>
      </c>
      <c r="AH27" s="15">
        <f t="shared" si="18"/>
        <v>3.5211912101471031E-2</v>
      </c>
      <c r="AI27" s="15">
        <f>SQRT(AH27^2+(16*K27/(PI()^2*$B$6^4*9.81)*(1-($B$6/$B$5)^(4))*Y27)^2)</f>
        <v>3.5211912101471031E-2</v>
      </c>
      <c r="AJ27" s="3">
        <v>0</v>
      </c>
      <c r="AK27" s="15">
        <f t="shared" si="19"/>
        <v>0</v>
      </c>
      <c r="AL27" s="22">
        <f>R27*AI27/O27</f>
        <v>8.3350624733148865E-4</v>
      </c>
      <c r="AM27" s="28">
        <f t="shared" si="21"/>
        <v>0</v>
      </c>
      <c r="AN27" s="2">
        <f t="shared" si="22"/>
        <v>1.9155005999999999</v>
      </c>
      <c r="AO27" s="2">
        <f t="shared" si="23"/>
        <v>0</v>
      </c>
    </row>
    <row r="28" spans="1:41" x14ac:dyDescent="0.25">
      <c r="A28" s="2" t="s">
        <v>63</v>
      </c>
      <c r="B28" s="1" t="s">
        <v>39</v>
      </c>
      <c r="C28" s="3">
        <v>1800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5">
        <f t="shared" si="3"/>
        <v>0</v>
      </c>
      <c r="K28" s="10">
        <v>4.0000000000000001E-3</v>
      </c>
      <c r="L28" s="13">
        <f t="shared" si="4"/>
        <v>0</v>
      </c>
      <c r="M28" s="13">
        <f t="shared" si="5"/>
        <v>0</v>
      </c>
      <c r="N28" s="13">
        <f t="shared" si="6"/>
        <v>0</v>
      </c>
      <c r="O28" s="7">
        <v>2.58</v>
      </c>
      <c r="P28" s="8">
        <f t="shared" si="0"/>
        <v>10.178760197630929</v>
      </c>
      <c r="Q28" s="8">
        <f t="shared" si="1"/>
        <v>1.4974946581424107</v>
      </c>
      <c r="R28" s="22">
        <f t="shared" ref="R28:R41" si="25">O28*9.81/P28^2</f>
        <v>0.24428620768088338</v>
      </c>
      <c r="S28" s="25">
        <f t="shared" si="9"/>
        <v>0.14711955376362509</v>
      </c>
      <c r="T28" s="19">
        <f t="shared" si="10"/>
        <v>0</v>
      </c>
      <c r="U28" s="10">
        <f t="shared" si="11"/>
        <v>4.3026527297494637</v>
      </c>
      <c r="V28" s="19">
        <f t="shared" si="12"/>
        <v>0</v>
      </c>
      <c r="W28" s="19">
        <v>0</v>
      </c>
      <c r="X28" s="15">
        <f t="shared" si="13"/>
        <v>0</v>
      </c>
      <c r="Y28" s="15">
        <f t="shared" si="14"/>
        <v>0</v>
      </c>
      <c r="Z28" s="15">
        <v>0</v>
      </c>
      <c r="AA28" s="15">
        <v>0</v>
      </c>
      <c r="AB28" s="3">
        <v>0.01</v>
      </c>
      <c r="AC28" s="3">
        <v>0.01</v>
      </c>
      <c r="AD28" s="3">
        <f t="shared" si="15"/>
        <v>0.01</v>
      </c>
      <c r="AE28" s="3">
        <f t="shared" si="16"/>
        <v>0.01</v>
      </c>
      <c r="AF28" s="15">
        <f t="shared" ref="AF28:AF41" si="26">L28*AD28</f>
        <v>0</v>
      </c>
      <c r="AG28" s="15">
        <f t="shared" si="17"/>
        <v>0</v>
      </c>
      <c r="AH28" s="15">
        <v>0</v>
      </c>
      <c r="AI28" s="15">
        <f t="shared" ref="AI28:AI41" si="27">SQRT(AF28^2+(16*K28/(PI()^2*$B$6^4*9.81)*(1-($B$6/$B$5)^(4))*Y28)^2)</f>
        <v>0</v>
      </c>
      <c r="AJ28" s="3">
        <v>0</v>
      </c>
      <c r="AK28" s="15">
        <f t="shared" si="19"/>
        <v>0</v>
      </c>
      <c r="AL28" s="15">
        <f t="shared" si="20"/>
        <v>0</v>
      </c>
      <c r="AM28" s="28">
        <f t="shared" si="21"/>
        <v>0</v>
      </c>
      <c r="AO28" s="2">
        <v>46</v>
      </c>
    </row>
    <row r="29" spans="1:41" x14ac:dyDescent="0.25">
      <c r="A29" s="2" t="s">
        <v>63</v>
      </c>
      <c r="B29" s="1" t="s">
        <v>39</v>
      </c>
      <c r="C29" s="3">
        <v>1800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5">
        <f t="shared" si="3"/>
        <v>0</v>
      </c>
      <c r="K29" s="10">
        <v>3.3E-3</v>
      </c>
      <c r="L29" s="13">
        <f t="shared" si="4"/>
        <v>0</v>
      </c>
      <c r="M29" s="13">
        <f t="shared" si="5"/>
        <v>0</v>
      </c>
      <c r="N29" s="13">
        <f t="shared" si="6"/>
        <v>0</v>
      </c>
      <c r="O29" s="7">
        <v>4.1399999999999997</v>
      </c>
      <c r="P29" s="8">
        <f t="shared" si="0"/>
        <v>10.178760197630929</v>
      </c>
      <c r="Q29" s="8">
        <f t="shared" si="1"/>
        <v>1.2354330929674888</v>
      </c>
      <c r="R29" s="22">
        <f t="shared" si="25"/>
        <v>0.39199414720885933</v>
      </c>
      <c r="S29" s="25">
        <f t="shared" si="9"/>
        <v>0.12137363185499071</v>
      </c>
      <c r="T29" s="19">
        <f t="shared" si="10"/>
        <v>0</v>
      </c>
      <c r="U29" s="10">
        <f t="shared" si="11"/>
        <v>4.3026527297494637</v>
      </c>
      <c r="V29" s="19">
        <f t="shared" si="12"/>
        <v>0</v>
      </c>
      <c r="W29" s="19">
        <v>0</v>
      </c>
      <c r="X29" s="15">
        <f t="shared" si="13"/>
        <v>0</v>
      </c>
      <c r="Y29" s="15">
        <f t="shared" si="14"/>
        <v>0</v>
      </c>
      <c r="Z29" s="15">
        <v>0</v>
      </c>
      <c r="AA29" s="15">
        <v>0</v>
      </c>
      <c r="AB29" s="3">
        <v>0.01</v>
      </c>
      <c r="AC29" s="3">
        <v>0.01</v>
      </c>
      <c r="AD29" s="3">
        <f t="shared" si="15"/>
        <v>0.01</v>
      </c>
      <c r="AE29" s="3">
        <f t="shared" si="16"/>
        <v>0.01</v>
      </c>
      <c r="AF29" s="15">
        <f t="shared" si="26"/>
        <v>0</v>
      </c>
      <c r="AG29" s="15">
        <f t="shared" si="17"/>
        <v>0</v>
      </c>
      <c r="AH29" s="15">
        <v>0</v>
      </c>
      <c r="AI29" s="15">
        <f t="shared" si="27"/>
        <v>0</v>
      </c>
      <c r="AJ29" s="3">
        <v>0</v>
      </c>
      <c r="AK29" s="15">
        <f t="shared" si="19"/>
        <v>0</v>
      </c>
      <c r="AL29" s="15">
        <f t="shared" si="20"/>
        <v>0</v>
      </c>
      <c r="AM29" s="28">
        <f t="shared" si="21"/>
        <v>0</v>
      </c>
      <c r="AO29" s="2">
        <v>66</v>
      </c>
    </row>
    <row r="30" spans="1:41" x14ac:dyDescent="0.25">
      <c r="A30" s="2" t="s">
        <v>63</v>
      </c>
      <c r="B30" s="1" t="s">
        <v>39</v>
      </c>
      <c r="C30" s="3">
        <v>1800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5">
        <f t="shared" si="3"/>
        <v>0</v>
      </c>
      <c r="K30" s="10">
        <v>2.5999999999999999E-3</v>
      </c>
      <c r="L30" s="13">
        <f t="shared" si="4"/>
        <v>0</v>
      </c>
      <c r="M30" s="13">
        <f t="shared" si="5"/>
        <v>0</v>
      </c>
      <c r="N30" s="13">
        <f t="shared" si="6"/>
        <v>0</v>
      </c>
      <c r="O30" s="7">
        <v>4.96</v>
      </c>
      <c r="P30" s="8">
        <f t="shared" si="0"/>
        <v>10.178760197630929</v>
      </c>
      <c r="Q30" s="8">
        <f t="shared" si="1"/>
        <v>0.97337152779256686</v>
      </c>
      <c r="R30" s="22">
        <f t="shared" si="25"/>
        <v>0.46963550003766724</v>
      </c>
      <c r="S30" s="25">
        <f t="shared" si="9"/>
        <v>9.5627709946356304E-2</v>
      </c>
      <c r="T30" s="19">
        <f t="shared" si="10"/>
        <v>0</v>
      </c>
      <c r="U30" s="10">
        <f t="shared" si="11"/>
        <v>4.3026527297494637</v>
      </c>
      <c r="V30" s="19">
        <f t="shared" si="12"/>
        <v>0</v>
      </c>
      <c r="W30" s="19">
        <v>0</v>
      </c>
      <c r="X30" s="15">
        <f t="shared" si="13"/>
        <v>0</v>
      </c>
      <c r="Y30" s="15">
        <f t="shared" si="14"/>
        <v>0</v>
      </c>
      <c r="Z30" s="15">
        <v>0</v>
      </c>
      <c r="AA30" s="15">
        <v>0</v>
      </c>
      <c r="AB30" s="3">
        <v>0.01</v>
      </c>
      <c r="AC30" s="3">
        <v>0.01</v>
      </c>
      <c r="AD30" s="3">
        <f t="shared" si="15"/>
        <v>0.01</v>
      </c>
      <c r="AE30" s="3">
        <f t="shared" si="16"/>
        <v>0.01</v>
      </c>
      <c r="AF30" s="15">
        <f t="shared" si="26"/>
        <v>0</v>
      </c>
      <c r="AG30" s="15">
        <f t="shared" si="17"/>
        <v>0</v>
      </c>
      <c r="AH30" s="15">
        <v>0</v>
      </c>
      <c r="AI30" s="15">
        <f t="shared" si="27"/>
        <v>0</v>
      </c>
      <c r="AJ30" s="3">
        <v>0</v>
      </c>
      <c r="AK30" s="15">
        <f t="shared" si="19"/>
        <v>0</v>
      </c>
      <c r="AL30" s="15">
        <f t="shared" si="20"/>
        <v>0</v>
      </c>
      <c r="AM30" s="28">
        <f t="shared" si="21"/>
        <v>0</v>
      </c>
      <c r="AO30" s="2">
        <v>67</v>
      </c>
    </row>
    <row r="31" spans="1:41" x14ac:dyDescent="0.25">
      <c r="A31" s="2" t="s">
        <v>63</v>
      </c>
      <c r="B31" s="1" t="s">
        <v>39</v>
      </c>
      <c r="C31" s="3">
        <v>1800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5">
        <f t="shared" si="3"/>
        <v>0</v>
      </c>
      <c r="K31" s="10">
        <v>2E-3</v>
      </c>
      <c r="L31" s="13">
        <f t="shared" si="4"/>
        <v>0</v>
      </c>
      <c r="M31" s="13">
        <f t="shared" si="5"/>
        <v>0</v>
      </c>
      <c r="N31" s="13">
        <f t="shared" si="6"/>
        <v>0</v>
      </c>
      <c r="O31" s="7">
        <v>5.4</v>
      </c>
      <c r="P31" s="8">
        <f t="shared" si="0"/>
        <v>10.178760197630929</v>
      </c>
      <c r="Q31" s="7">
        <f t="shared" si="1"/>
        <v>0.74874732907120534</v>
      </c>
      <c r="R31" s="22">
        <f t="shared" si="25"/>
        <v>0.51129671375068619</v>
      </c>
      <c r="S31" s="25">
        <f t="shared" si="9"/>
        <v>7.3559776881812547E-2</v>
      </c>
      <c r="T31" s="19">
        <f t="shared" si="10"/>
        <v>0</v>
      </c>
      <c r="U31" s="10">
        <f t="shared" si="11"/>
        <v>4.3026527297494637</v>
      </c>
      <c r="V31" s="19">
        <f t="shared" si="12"/>
        <v>0</v>
      </c>
      <c r="W31" s="19">
        <v>0</v>
      </c>
      <c r="X31" s="15">
        <f t="shared" si="13"/>
        <v>0</v>
      </c>
      <c r="Y31" s="15">
        <f t="shared" si="14"/>
        <v>0</v>
      </c>
      <c r="Z31" s="15">
        <v>0</v>
      </c>
      <c r="AA31" s="15">
        <v>0</v>
      </c>
      <c r="AB31" s="3">
        <v>0.01</v>
      </c>
      <c r="AC31" s="3">
        <v>0.01</v>
      </c>
      <c r="AD31" s="3">
        <f t="shared" si="15"/>
        <v>0.01</v>
      </c>
      <c r="AE31" s="3">
        <f t="shared" si="16"/>
        <v>0.01</v>
      </c>
      <c r="AF31" s="15">
        <f t="shared" si="26"/>
        <v>0</v>
      </c>
      <c r="AG31" s="15">
        <f t="shared" si="17"/>
        <v>0</v>
      </c>
      <c r="AH31" s="15">
        <v>0</v>
      </c>
      <c r="AI31" s="15">
        <f t="shared" si="27"/>
        <v>0</v>
      </c>
      <c r="AJ31" s="3">
        <v>0</v>
      </c>
      <c r="AK31" s="15">
        <f t="shared" si="19"/>
        <v>0</v>
      </c>
      <c r="AL31" s="15">
        <f t="shared" si="20"/>
        <v>0</v>
      </c>
      <c r="AM31" s="28">
        <f t="shared" si="21"/>
        <v>0</v>
      </c>
      <c r="AO31" s="2">
        <v>64</v>
      </c>
    </row>
    <row r="32" spans="1:41" x14ac:dyDescent="0.25">
      <c r="A32" s="2" t="s">
        <v>63</v>
      </c>
      <c r="B32" s="1" t="s">
        <v>39</v>
      </c>
      <c r="C32" s="3">
        <v>2700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5">
        <f t="shared" si="3"/>
        <v>0</v>
      </c>
      <c r="K32" s="10">
        <v>6.0000000000000001E-3</v>
      </c>
      <c r="L32" s="13">
        <f t="shared" si="4"/>
        <v>0</v>
      </c>
      <c r="M32" s="13">
        <f t="shared" si="5"/>
        <v>0</v>
      </c>
      <c r="N32" s="13">
        <f t="shared" si="6"/>
        <v>0</v>
      </c>
      <c r="O32" s="7">
        <v>5.77</v>
      </c>
      <c r="P32" s="8">
        <f t="shared" si="0"/>
        <v>15.268140296446393</v>
      </c>
      <c r="Q32" s="8">
        <f t="shared" si="1"/>
        <v>2.2462419872136161</v>
      </c>
      <c r="R32" s="22">
        <f t="shared" si="25"/>
        <v>0.24281333648900894</v>
      </c>
      <c r="S32" s="25">
        <f t="shared" si="9"/>
        <v>0.14711955376362509</v>
      </c>
      <c r="T32" s="19">
        <f t="shared" si="10"/>
        <v>0</v>
      </c>
      <c r="U32" s="10">
        <f t="shared" si="11"/>
        <v>4.3026527297494637</v>
      </c>
      <c r="V32" s="19">
        <f t="shared" si="12"/>
        <v>0</v>
      </c>
      <c r="W32" s="19">
        <v>0</v>
      </c>
      <c r="X32" s="15">
        <f t="shared" si="13"/>
        <v>0</v>
      </c>
      <c r="Y32" s="15">
        <f t="shared" si="14"/>
        <v>0</v>
      </c>
      <c r="Z32" s="15">
        <v>0</v>
      </c>
      <c r="AA32" s="15">
        <v>0</v>
      </c>
      <c r="AB32" s="3">
        <v>0.01</v>
      </c>
      <c r="AC32" s="3">
        <v>0.01</v>
      </c>
      <c r="AD32" s="3">
        <f t="shared" si="15"/>
        <v>0.01</v>
      </c>
      <c r="AE32" s="3">
        <f t="shared" si="16"/>
        <v>0.01</v>
      </c>
      <c r="AF32" s="15">
        <f t="shared" si="26"/>
        <v>0</v>
      </c>
      <c r="AG32" s="15">
        <f t="shared" si="17"/>
        <v>0</v>
      </c>
      <c r="AH32" s="15">
        <v>0</v>
      </c>
      <c r="AI32" s="15">
        <f t="shared" si="27"/>
        <v>0</v>
      </c>
      <c r="AJ32" s="3">
        <v>0</v>
      </c>
      <c r="AK32" s="15">
        <f t="shared" si="19"/>
        <v>0</v>
      </c>
      <c r="AL32" s="15">
        <f t="shared" si="20"/>
        <v>0</v>
      </c>
      <c r="AM32" s="28">
        <f t="shared" si="21"/>
        <v>0</v>
      </c>
      <c r="AO32" s="2">
        <v>52</v>
      </c>
    </row>
    <row r="33" spans="1:41" x14ac:dyDescent="0.25">
      <c r="A33" s="2" t="s">
        <v>63</v>
      </c>
      <c r="B33" s="1" t="s">
        <v>39</v>
      </c>
      <c r="C33" s="3">
        <v>2700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5">
        <f t="shared" si="3"/>
        <v>0</v>
      </c>
      <c r="K33" s="10">
        <v>5.0000000000000001E-3</v>
      </c>
      <c r="L33" s="13">
        <f t="shared" si="4"/>
        <v>0</v>
      </c>
      <c r="M33" s="13">
        <f t="shared" si="5"/>
        <v>0</v>
      </c>
      <c r="N33" s="13">
        <f t="shared" si="6"/>
        <v>0</v>
      </c>
      <c r="O33" s="7">
        <v>9.1199999999999992</v>
      </c>
      <c r="P33" s="8">
        <f t="shared" si="0"/>
        <v>15.268140296446393</v>
      </c>
      <c r="Q33" s="8">
        <f t="shared" si="1"/>
        <v>1.8718683226780133</v>
      </c>
      <c r="R33" s="22">
        <f t="shared" si="25"/>
        <v>0.3837881505684162</v>
      </c>
      <c r="S33" s="25">
        <f t="shared" si="9"/>
        <v>0.12259962813635425</v>
      </c>
      <c r="T33" s="19">
        <f t="shared" si="10"/>
        <v>0</v>
      </c>
      <c r="U33" s="10">
        <f t="shared" si="11"/>
        <v>4.3026527297494637</v>
      </c>
      <c r="V33" s="19">
        <f t="shared" si="12"/>
        <v>0</v>
      </c>
      <c r="W33" s="19">
        <v>0</v>
      </c>
      <c r="X33" s="15">
        <f t="shared" si="13"/>
        <v>0</v>
      </c>
      <c r="Y33" s="15">
        <f t="shared" si="14"/>
        <v>0</v>
      </c>
      <c r="Z33" s="15">
        <v>0</v>
      </c>
      <c r="AA33" s="15">
        <v>0</v>
      </c>
      <c r="AB33" s="3">
        <v>0.01</v>
      </c>
      <c r="AC33" s="3">
        <v>0.01</v>
      </c>
      <c r="AD33" s="3">
        <f t="shared" si="15"/>
        <v>0.01</v>
      </c>
      <c r="AE33" s="3">
        <f t="shared" si="16"/>
        <v>0.01</v>
      </c>
      <c r="AF33" s="15">
        <f t="shared" si="26"/>
        <v>0</v>
      </c>
      <c r="AG33" s="15">
        <f t="shared" si="17"/>
        <v>0</v>
      </c>
      <c r="AH33" s="15">
        <v>0</v>
      </c>
      <c r="AI33" s="15">
        <f t="shared" si="27"/>
        <v>0</v>
      </c>
      <c r="AJ33" s="3">
        <v>0</v>
      </c>
      <c r="AK33" s="15">
        <f t="shared" si="19"/>
        <v>0</v>
      </c>
      <c r="AL33" s="15">
        <f t="shared" si="20"/>
        <v>0</v>
      </c>
      <c r="AM33" s="28">
        <f t="shared" si="21"/>
        <v>0</v>
      </c>
      <c r="AO33" s="2">
        <v>71</v>
      </c>
    </row>
    <row r="34" spans="1:41" x14ac:dyDescent="0.25">
      <c r="A34" s="2" t="s">
        <v>63</v>
      </c>
      <c r="B34" s="1" t="s">
        <v>39</v>
      </c>
      <c r="C34" s="3">
        <v>2700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5">
        <f t="shared" si="3"/>
        <v>0</v>
      </c>
      <c r="K34" s="10">
        <v>4.0000000000000001E-3</v>
      </c>
      <c r="L34" s="13">
        <f t="shared" si="4"/>
        <v>0</v>
      </c>
      <c r="M34" s="13">
        <f t="shared" si="5"/>
        <v>0</v>
      </c>
      <c r="N34" s="13">
        <f t="shared" si="6"/>
        <v>0</v>
      </c>
      <c r="O34" s="8">
        <v>11</v>
      </c>
      <c r="P34" s="8">
        <f t="shared" si="0"/>
        <v>15.268140296446393</v>
      </c>
      <c r="Q34" s="8">
        <f t="shared" si="1"/>
        <v>1.4974946581424107</v>
      </c>
      <c r="R34" s="22">
        <f t="shared" si="25"/>
        <v>0.46290237458909855</v>
      </c>
      <c r="S34" s="25">
        <f t="shared" si="9"/>
        <v>9.8079702509083391E-2</v>
      </c>
      <c r="T34" s="19">
        <f t="shared" si="10"/>
        <v>0</v>
      </c>
      <c r="U34" s="10">
        <f t="shared" si="11"/>
        <v>4.3026527297494637</v>
      </c>
      <c r="V34" s="19">
        <f t="shared" si="12"/>
        <v>0</v>
      </c>
      <c r="W34" s="19">
        <v>0</v>
      </c>
      <c r="X34" s="15">
        <f t="shared" si="13"/>
        <v>0</v>
      </c>
      <c r="Y34" s="15">
        <f t="shared" si="14"/>
        <v>0</v>
      </c>
      <c r="Z34" s="15">
        <v>0</v>
      </c>
      <c r="AA34" s="15">
        <v>0</v>
      </c>
      <c r="AB34" s="3">
        <v>0.01</v>
      </c>
      <c r="AC34" s="3">
        <v>0.01</v>
      </c>
      <c r="AD34" s="3">
        <f t="shared" si="15"/>
        <v>0.01</v>
      </c>
      <c r="AE34" s="3">
        <f t="shared" si="16"/>
        <v>0.01</v>
      </c>
      <c r="AF34" s="15">
        <f t="shared" si="26"/>
        <v>0</v>
      </c>
      <c r="AG34" s="15">
        <f t="shared" si="17"/>
        <v>0</v>
      </c>
      <c r="AH34" s="15">
        <v>0</v>
      </c>
      <c r="AI34" s="15">
        <f t="shared" si="27"/>
        <v>0</v>
      </c>
      <c r="AJ34" s="3">
        <v>0</v>
      </c>
      <c r="AK34" s="15">
        <f t="shared" si="19"/>
        <v>0</v>
      </c>
      <c r="AL34" s="15">
        <f t="shared" si="20"/>
        <v>0</v>
      </c>
      <c r="AM34" s="28">
        <f t="shared" si="21"/>
        <v>0</v>
      </c>
      <c r="AO34" s="2">
        <v>73</v>
      </c>
    </row>
    <row r="35" spans="1:41" x14ac:dyDescent="0.25">
      <c r="A35" s="2" t="s">
        <v>63</v>
      </c>
      <c r="B35" s="1" t="s">
        <v>39</v>
      </c>
      <c r="C35" s="3">
        <v>2700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5">
        <f t="shared" si="3"/>
        <v>0</v>
      </c>
      <c r="K35" s="10">
        <v>3.0000000000000001E-3</v>
      </c>
      <c r="L35" s="13">
        <f t="shared" si="4"/>
        <v>0</v>
      </c>
      <c r="M35" s="13">
        <f t="shared" si="5"/>
        <v>0</v>
      </c>
      <c r="N35" s="13">
        <f t="shared" si="6"/>
        <v>0</v>
      </c>
      <c r="O35" s="8">
        <v>12.1</v>
      </c>
      <c r="P35" s="8">
        <f t="shared" si="0"/>
        <v>15.268140296446393</v>
      </c>
      <c r="Q35" s="8">
        <f t="shared" si="1"/>
        <v>1.1231209936068081</v>
      </c>
      <c r="R35" s="22">
        <f t="shared" si="25"/>
        <v>0.50919261204800836</v>
      </c>
      <c r="S35" s="25">
        <f t="shared" si="9"/>
        <v>7.3559776881812547E-2</v>
      </c>
      <c r="T35" s="19">
        <f t="shared" si="10"/>
        <v>0</v>
      </c>
      <c r="U35" s="10">
        <f t="shared" si="11"/>
        <v>4.3026527297494637</v>
      </c>
      <c r="V35" s="19">
        <f t="shared" si="12"/>
        <v>0</v>
      </c>
      <c r="W35" s="19">
        <v>0</v>
      </c>
      <c r="X35" s="15">
        <f t="shared" si="13"/>
        <v>0</v>
      </c>
      <c r="Y35" s="15">
        <f t="shared" si="14"/>
        <v>0</v>
      </c>
      <c r="Z35" s="15">
        <v>0</v>
      </c>
      <c r="AA35" s="15">
        <v>0</v>
      </c>
      <c r="AB35" s="3">
        <v>0.01</v>
      </c>
      <c r="AC35" s="3">
        <v>0.01</v>
      </c>
      <c r="AD35" s="3">
        <f t="shared" si="15"/>
        <v>0.01</v>
      </c>
      <c r="AE35" s="3">
        <f t="shared" si="16"/>
        <v>0.01</v>
      </c>
      <c r="AF35" s="15">
        <f t="shared" si="26"/>
        <v>0</v>
      </c>
      <c r="AG35" s="15">
        <f t="shared" si="17"/>
        <v>0</v>
      </c>
      <c r="AH35" s="15">
        <v>0</v>
      </c>
      <c r="AI35" s="15">
        <f t="shared" si="27"/>
        <v>0</v>
      </c>
      <c r="AJ35" s="3">
        <v>0</v>
      </c>
      <c r="AK35" s="15">
        <f t="shared" si="19"/>
        <v>0</v>
      </c>
      <c r="AL35" s="15">
        <f t="shared" si="20"/>
        <v>0</v>
      </c>
      <c r="AM35" s="28">
        <f t="shared" si="21"/>
        <v>0</v>
      </c>
      <c r="AO35" s="2">
        <v>69</v>
      </c>
    </row>
    <row r="36" spans="1:41" x14ac:dyDescent="0.25">
      <c r="A36" s="2" t="s">
        <v>63</v>
      </c>
      <c r="B36" s="1" t="s">
        <v>39</v>
      </c>
      <c r="C36" s="3">
        <v>2700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5">
        <f t="shared" si="3"/>
        <v>0</v>
      </c>
      <c r="K36" s="10">
        <v>2E-3</v>
      </c>
      <c r="L36" s="13">
        <f t="shared" si="4"/>
        <v>0</v>
      </c>
      <c r="M36" s="13">
        <f t="shared" si="5"/>
        <v>0</v>
      </c>
      <c r="N36" s="13">
        <f t="shared" si="6"/>
        <v>0</v>
      </c>
      <c r="O36" s="8">
        <v>12.8</v>
      </c>
      <c r="P36" s="8">
        <f t="shared" si="0"/>
        <v>15.268140296446393</v>
      </c>
      <c r="Q36" s="7">
        <f t="shared" si="1"/>
        <v>0.74874732907120534</v>
      </c>
      <c r="R36" s="22">
        <f t="shared" si="25"/>
        <v>0.53865003588549654</v>
      </c>
      <c r="S36" s="25">
        <f t="shared" si="9"/>
        <v>4.9039851254541696E-2</v>
      </c>
      <c r="T36" s="19">
        <f t="shared" si="10"/>
        <v>0</v>
      </c>
      <c r="U36" s="10">
        <f t="shared" si="11"/>
        <v>4.3026527297494637</v>
      </c>
      <c r="V36" s="19">
        <f t="shared" si="12"/>
        <v>0</v>
      </c>
      <c r="W36" s="19">
        <v>0</v>
      </c>
      <c r="X36" s="15">
        <f t="shared" si="13"/>
        <v>0</v>
      </c>
      <c r="Y36" s="15">
        <f t="shared" si="14"/>
        <v>0</v>
      </c>
      <c r="Z36" s="15">
        <v>0</v>
      </c>
      <c r="AA36" s="15">
        <v>0</v>
      </c>
      <c r="AB36" s="3">
        <v>0.01</v>
      </c>
      <c r="AC36" s="3">
        <v>0.01</v>
      </c>
      <c r="AD36" s="3">
        <f t="shared" si="15"/>
        <v>0.01</v>
      </c>
      <c r="AE36" s="3">
        <f t="shared" si="16"/>
        <v>0.01</v>
      </c>
      <c r="AF36" s="15">
        <f t="shared" si="26"/>
        <v>0</v>
      </c>
      <c r="AG36" s="15">
        <f t="shared" si="17"/>
        <v>0</v>
      </c>
      <c r="AH36" s="15">
        <v>0</v>
      </c>
      <c r="AI36" s="15">
        <f t="shared" si="27"/>
        <v>0</v>
      </c>
      <c r="AJ36" s="3">
        <v>0</v>
      </c>
      <c r="AK36" s="15">
        <f t="shared" si="19"/>
        <v>0</v>
      </c>
      <c r="AL36" s="15">
        <f t="shared" si="20"/>
        <v>0</v>
      </c>
      <c r="AM36" s="28">
        <f t="shared" si="21"/>
        <v>0</v>
      </c>
      <c r="AO36" s="2">
        <v>58</v>
      </c>
    </row>
    <row r="37" spans="1:41" x14ac:dyDescent="0.25">
      <c r="A37" s="2" t="s">
        <v>63</v>
      </c>
      <c r="B37" s="1" t="s">
        <v>39</v>
      </c>
      <c r="C37" s="3">
        <v>3600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5">
        <f t="shared" si="3"/>
        <v>0</v>
      </c>
      <c r="K37" s="10">
        <v>8.0000000000000002E-3</v>
      </c>
      <c r="L37" s="13">
        <f t="shared" si="4"/>
        <v>0</v>
      </c>
      <c r="M37" s="13">
        <f t="shared" si="5"/>
        <v>0</v>
      </c>
      <c r="N37" s="13">
        <f t="shared" si="6"/>
        <v>0</v>
      </c>
      <c r="O37" s="8">
        <v>10.3</v>
      </c>
      <c r="P37" s="8">
        <f t="shared" si="0"/>
        <v>20.357520395261858</v>
      </c>
      <c r="Q37" s="8">
        <f t="shared" si="1"/>
        <v>2.9949893162848213</v>
      </c>
      <c r="R37" s="22">
        <f t="shared" si="25"/>
        <v>0.2438127847977809</v>
      </c>
      <c r="S37" s="25">
        <f t="shared" si="9"/>
        <v>0.14711955376362509</v>
      </c>
      <c r="T37" s="19">
        <f t="shared" si="10"/>
        <v>0</v>
      </c>
      <c r="U37" s="10">
        <f t="shared" si="11"/>
        <v>4.3026527297494637</v>
      </c>
      <c r="V37" s="19">
        <f t="shared" si="12"/>
        <v>0</v>
      </c>
      <c r="W37" s="19">
        <v>0</v>
      </c>
      <c r="X37" s="15">
        <f t="shared" si="13"/>
        <v>0</v>
      </c>
      <c r="Y37" s="15">
        <f t="shared" si="14"/>
        <v>0</v>
      </c>
      <c r="Z37" s="15">
        <v>0</v>
      </c>
      <c r="AA37" s="15">
        <v>0</v>
      </c>
      <c r="AB37" s="3">
        <v>0.01</v>
      </c>
      <c r="AC37" s="3">
        <v>0.01</v>
      </c>
      <c r="AD37" s="3">
        <f t="shared" si="15"/>
        <v>0.01</v>
      </c>
      <c r="AE37" s="3">
        <f t="shared" si="16"/>
        <v>0.01</v>
      </c>
      <c r="AF37" s="15">
        <f t="shared" si="26"/>
        <v>0</v>
      </c>
      <c r="AG37" s="15">
        <f t="shared" si="17"/>
        <v>0</v>
      </c>
      <c r="AH37" s="15">
        <v>0</v>
      </c>
      <c r="AI37" s="15">
        <f t="shared" si="27"/>
        <v>0</v>
      </c>
      <c r="AJ37" s="3">
        <v>0</v>
      </c>
      <c r="AK37" s="15">
        <f t="shared" si="19"/>
        <v>0</v>
      </c>
      <c r="AL37" s="15">
        <f t="shared" si="20"/>
        <v>0</v>
      </c>
      <c r="AM37" s="28">
        <f t="shared" si="21"/>
        <v>0</v>
      </c>
      <c r="AO37" s="3">
        <v>52</v>
      </c>
    </row>
    <row r="38" spans="1:41" x14ac:dyDescent="0.25">
      <c r="A38" s="2" t="s">
        <v>63</v>
      </c>
      <c r="B38" s="1" t="s">
        <v>39</v>
      </c>
      <c r="C38" s="3">
        <v>3600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5">
        <f t="shared" si="3"/>
        <v>0</v>
      </c>
      <c r="K38" s="10">
        <v>6.7000000000000002E-3</v>
      </c>
      <c r="L38" s="13">
        <f t="shared" si="4"/>
        <v>0</v>
      </c>
      <c r="M38" s="13">
        <f t="shared" si="5"/>
        <v>0</v>
      </c>
      <c r="N38" s="13">
        <f t="shared" si="6"/>
        <v>0</v>
      </c>
      <c r="O38" s="8">
        <v>16.100000000000001</v>
      </c>
      <c r="P38" s="8">
        <f t="shared" si="0"/>
        <v>20.357520395261858</v>
      </c>
      <c r="Q38" s="8">
        <f t="shared" si="1"/>
        <v>2.5083035523885377</v>
      </c>
      <c r="R38" s="22">
        <f t="shared" si="25"/>
        <v>0.38110542089750221</v>
      </c>
      <c r="S38" s="25">
        <f t="shared" si="9"/>
        <v>0.12321262627703601</v>
      </c>
      <c r="T38" s="19">
        <f t="shared" si="10"/>
        <v>0</v>
      </c>
      <c r="U38" s="10">
        <f t="shared" si="11"/>
        <v>4.3026527297494637</v>
      </c>
      <c r="V38" s="19">
        <f t="shared" si="12"/>
        <v>0</v>
      </c>
      <c r="W38" s="19">
        <v>0</v>
      </c>
      <c r="X38" s="15">
        <f t="shared" si="13"/>
        <v>0</v>
      </c>
      <c r="Y38" s="15">
        <f t="shared" si="14"/>
        <v>0</v>
      </c>
      <c r="Z38" s="15">
        <v>0</v>
      </c>
      <c r="AA38" s="15">
        <v>0</v>
      </c>
      <c r="AB38" s="3">
        <v>0.01</v>
      </c>
      <c r="AC38" s="3">
        <v>0.01</v>
      </c>
      <c r="AD38" s="3">
        <f t="shared" si="15"/>
        <v>0.01</v>
      </c>
      <c r="AE38" s="3">
        <f t="shared" si="16"/>
        <v>0.01</v>
      </c>
      <c r="AF38" s="15">
        <f t="shared" si="26"/>
        <v>0</v>
      </c>
      <c r="AG38" s="15">
        <f t="shared" si="17"/>
        <v>0</v>
      </c>
      <c r="AH38" s="15">
        <v>0</v>
      </c>
      <c r="AI38" s="15">
        <f t="shared" si="27"/>
        <v>0</v>
      </c>
      <c r="AJ38" s="3">
        <v>0</v>
      </c>
      <c r="AK38" s="15">
        <f t="shared" si="19"/>
        <v>0</v>
      </c>
      <c r="AL38" s="15">
        <f t="shared" si="20"/>
        <v>0</v>
      </c>
      <c r="AM38" s="28">
        <f t="shared" si="21"/>
        <v>0</v>
      </c>
      <c r="AO38" s="3">
        <v>71</v>
      </c>
    </row>
    <row r="39" spans="1:41" x14ac:dyDescent="0.25">
      <c r="A39" s="2" t="s">
        <v>63</v>
      </c>
      <c r="B39" s="1" t="s">
        <v>39</v>
      </c>
      <c r="C39" s="3">
        <v>3600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5">
        <f>AVERAGE(G39:I39)</f>
        <v>0</v>
      </c>
      <c r="K39" s="10">
        <v>5.4000000000000003E-3</v>
      </c>
      <c r="L39" s="13">
        <f t="shared" si="4"/>
        <v>0</v>
      </c>
      <c r="M39" s="13">
        <f t="shared" si="5"/>
        <v>0</v>
      </c>
      <c r="N39" s="13">
        <f t="shared" si="6"/>
        <v>0</v>
      </c>
      <c r="O39" s="8">
        <v>19.2</v>
      </c>
      <c r="P39" s="8">
        <f t="shared" si="0"/>
        <v>20.357520395261858</v>
      </c>
      <c r="Q39" s="8">
        <f t="shared" si="1"/>
        <v>2.0216177884922546</v>
      </c>
      <c r="R39" s="22">
        <f t="shared" si="25"/>
        <v>0.45448596777838768</v>
      </c>
      <c r="S39" s="25">
        <f t="shared" si="9"/>
        <v>9.9305698790446956E-2</v>
      </c>
      <c r="T39" s="19">
        <f t="shared" si="10"/>
        <v>0</v>
      </c>
      <c r="U39" s="10">
        <f t="shared" si="11"/>
        <v>4.3026527297494637</v>
      </c>
      <c r="V39" s="19">
        <f t="shared" si="12"/>
        <v>0</v>
      </c>
      <c r="W39" s="19">
        <v>0</v>
      </c>
      <c r="X39" s="15">
        <f t="shared" si="13"/>
        <v>0</v>
      </c>
      <c r="Y39" s="15">
        <f t="shared" si="14"/>
        <v>0</v>
      </c>
      <c r="Z39" s="15">
        <v>0</v>
      </c>
      <c r="AA39" s="15">
        <v>0</v>
      </c>
      <c r="AB39" s="3">
        <v>0.01</v>
      </c>
      <c r="AC39" s="3">
        <v>0.01</v>
      </c>
      <c r="AD39" s="3">
        <f t="shared" si="15"/>
        <v>0.01</v>
      </c>
      <c r="AE39" s="3">
        <f t="shared" si="16"/>
        <v>0.01</v>
      </c>
      <c r="AF39" s="15">
        <f t="shared" si="26"/>
        <v>0</v>
      </c>
      <c r="AG39" s="15">
        <f t="shared" si="17"/>
        <v>0</v>
      </c>
      <c r="AH39" s="15">
        <v>0</v>
      </c>
      <c r="AI39" s="15">
        <f t="shared" si="27"/>
        <v>0</v>
      </c>
      <c r="AJ39" s="3">
        <v>0</v>
      </c>
      <c r="AK39" s="15">
        <f t="shared" si="19"/>
        <v>0</v>
      </c>
      <c r="AL39" s="15">
        <f t="shared" si="20"/>
        <v>0</v>
      </c>
      <c r="AM39" s="19">
        <f t="shared" si="21"/>
        <v>0</v>
      </c>
      <c r="AO39" s="3">
        <v>73</v>
      </c>
    </row>
    <row r="40" spans="1:41" x14ac:dyDescent="0.25">
      <c r="A40" s="2" t="s">
        <v>63</v>
      </c>
      <c r="B40" s="1" t="s">
        <v>39</v>
      </c>
      <c r="C40" s="3">
        <v>3600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5">
        <f t="shared" si="3"/>
        <v>0</v>
      </c>
      <c r="K40" s="10">
        <v>4.0000000000000001E-3</v>
      </c>
      <c r="L40" s="13">
        <f t="shared" si="4"/>
        <v>0</v>
      </c>
      <c r="M40" s="13">
        <f t="shared" si="5"/>
        <v>0</v>
      </c>
      <c r="N40" s="13">
        <f t="shared" si="6"/>
        <v>0</v>
      </c>
      <c r="O40" s="8">
        <v>21.6</v>
      </c>
      <c r="P40" s="8">
        <f t="shared" si="0"/>
        <v>20.357520395261858</v>
      </c>
      <c r="Q40" s="8">
        <f t="shared" si="1"/>
        <v>1.4974946581424107</v>
      </c>
      <c r="R40" s="22">
        <f t="shared" si="25"/>
        <v>0.51129671375068619</v>
      </c>
      <c r="S40" s="25">
        <f t="shared" si="9"/>
        <v>7.3559776881812547E-2</v>
      </c>
      <c r="T40" s="19">
        <f t="shared" si="10"/>
        <v>0</v>
      </c>
      <c r="U40" s="10">
        <f t="shared" si="11"/>
        <v>4.3026527297494637</v>
      </c>
      <c r="V40" s="19">
        <f t="shared" si="12"/>
        <v>0</v>
      </c>
      <c r="W40" s="19">
        <v>0</v>
      </c>
      <c r="X40" s="15">
        <f t="shared" si="13"/>
        <v>0</v>
      </c>
      <c r="Y40" s="15">
        <f t="shared" si="14"/>
        <v>0</v>
      </c>
      <c r="Z40" s="15">
        <v>0</v>
      </c>
      <c r="AA40" s="15">
        <v>0</v>
      </c>
      <c r="AB40" s="3">
        <v>0.01</v>
      </c>
      <c r="AC40" s="3">
        <v>0.01</v>
      </c>
      <c r="AD40" s="3">
        <f t="shared" si="15"/>
        <v>0.01</v>
      </c>
      <c r="AE40" s="3">
        <f t="shared" si="16"/>
        <v>0.01</v>
      </c>
      <c r="AF40" s="15">
        <f t="shared" si="26"/>
        <v>0</v>
      </c>
      <c r="AG40" s="15">
        <f t="shared" si="17"/>
        <v>0</v>
      </c>
      <c r="AH40" s="15">
        <v>0</v>
      </c>
      <c r="AI40" s="15">
        <f t="shared" si="27"/>
        <v>0</v>
      </c>
      <c r="AJ40" s="3">
        <v>0</v>
      </c>
      <c r="AK40" s="15">
        <f t="shared" si="19"/>
        <v>0</v>
      </c>
      <c r="AL40" s="15">
        <f t="shared" si="20"/>
        <v>0</v>
      </c>
      <c r="AM40" s="19">
        <f t="shared" si="21"/>
        <v>0</v>
      </c>
      <c r="AO40" s="6">
        <v>69</v>
      </c>
    </row>
    <row r="41" spans="1:41" x14ac:dyDescent="0.25">
      <c r="A41" s="2" t="s">
        <v>63</v>
      </c>
      <c r="B41" s="1" t="s">
        <v>39</v>
      </c>
      <c r="C41" s="3">
        <v>3600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5">
        <f t="shared" si="3"/>
        <v>0</v>
      </c>
      <c r="K41" s="10">
        <v>2.7000000000000001E-3</v>
      </c>
      <c r="L41" s="13">
        <f t="shared" si="4"/>
        <v>0</v>
      </c>
      <c r="M41" s="13">
        <f t="shared" si="5"/>
        <v>0</v>
      </c>
      <c r="N41" s="13">
        <f t="shared" si="6"/>
        <v>0</v>
      </c>
      <c r="O41" s="8">
        <v>22.8</v>
      </c>
      <c r="P41" s="8">
        <f t="shared" si="0"/>
        <v>20.357520395261858</v>
      </c>
      <c r="Q41" s="8">
        <f t="shared" si="1"/>
        <v>1.0108088942461273</v>
      </c>
      <c r="R41" s="22">
        <f t="shared" si="25"/>
        <v>0.5397020867368354</v>
      </c>
      <c r="S41" s="25">
        <f t="shared" si="9"/>
        <v>4.9652849395223478E-2</v>
      </c>
      <c r="T41" s="19">
        <f t="shared" si="10"/>
        <v>0</v>
      </c>
      <c r="U41" s="10">
        <f t="shared" si="11"/>
        <v>4.3026527297494637</v>
      </c>
      <c r="V41" s="19">
        <f t="shared" si="12"/>
        <v>0</v>
      </c>
      <c r="W41" s="19">
        <v>0</v>
      </c>
      <c r="X41" s="15">
        <f t="shared" si="13"/>
        <v>0</v>
      </c>
      <c r="Y41" s="15">
        <f t="shared" si="14"/>
        <v>0</v>
      </c>
      <c r="Z41" s="15">
        <v>0</v>
      </c>
      <c r="AA41" s="15">
        <v>0</v>
      </c>
      <c r="AB41" s="3">
        <v>0.01</v>
      </c>
      <c r="AC41" s="3">
        <v>0.01</v>
      </c>
      <c r="AD41" s="3">
        <f t="shared" si="15"/>
        <v>0.01</v>
      </c>
      <c r="AE41" s="3">
        <f t="shared" si="16"/>
        <v>0.01</v>
      </c>
      <c r="AF41" s="15">
        <f t="shared" si="26"/>
        <v>0</v>
      </c>
      <c r="AG41" s="15">
        <f t="shared" si="17"/>
        <v>0</v>
      </c>
      <c r="AH41" s="15">
        <v>0</v>
      </c>
      <c r="AI41" s="15">
        <f t="shared" si="27"/>
        <v>0</v>
      </c>
      <c r="AJ41" s="3">
        <v>0</v>
      </c>
      <c r="AK41" s="15">
        <f t="shared" si="19"/>
        <v>0</v>
      </c>
      <c r="AL41" s="15">
        <f t="shared" si="20"/>
        <v>0</v>
      </c>
      <c r="AM41" s="19">
        <f t="shared" si="21"/>
        <v>0</v>
      </c>
      <c r="AO41" s="3">
        <v>59</v>
      </c>
    </row>
    <row r="42" spans="1:41" x14ac:dyDescent="0.25">
      <c r="A42" s="2" t="s">
        <v>64</v>
      </c>
      <c r="B42" s="1" t="s">
        <v>10</v>
      </c>
      <c r="C42" s="3">
        <v>2700</v>
      </c>
      <c r="D42" s="3">
        <v>2.87</v>
      </c>
      <c r="E42" s="3">
        <v>2.72</v>
      </c>
      <c r="F42" s="13">
        <v>0</v>
      </c>
      <c r="G42" s="3">
        <v>12.46</v>
      </c>
      <c r="H42" s="3">
        <v>12.28</v>
      </c>
      <c r="I42" s="3">
        <v>12.79</v>
      </c>
      <c r="J42" s="15">
        <f t="shared" si="3"/>
        <v>12.51</v>
      </c>
      <c r="K42" s="9">
        <f>$D$3/$B$2/J42</f>
        <v>7.2662110792328068E-3</v>
      </c>
      <c r="L42" s="8">
        <f t="shared" si="4"/>
        <v>10.105818773122188</v>
      </c>
      <c r="M42" s="7">
        <f t="shared" si="5"/>
        <v>9.5776400916001219</v>
      </c>
      <c r="N42" s="7">
        <f t="shared" si="6"/>
        <v>9.8417294323611557</v>
      </c>
      <c r="O42" s="8">
        <f t="shared" ref="O42:O49" si="28">N42+8*K42^2/(PI()^2*$B$6^4*9.81)*(1-($B$6/$B$5)^4)</f>
        <v>11.256986832203168</v>
      </c>
      <c r="P42" s="8">
        <f t="shared" ref="P42:P44" si="29">$B$7/2*2*PI()/60*C42</f>
        <v>15.268140296446393</v>
      </c>
      <c r="Q42" s="8">
        <f t="shared" ref="Q42:Q45" si="30">K42/($B$8*(2*PI()*$B$7/2-$B$10*$B$9))</f>
        <v>2.7202780690215822</v>
      </c>
      <c r="R42" s="22">
        <f t="shared" ref="R42:R45" si="31">O42*9.81/P42^2</f>
        <v>0.47371690321318732</v>
      </c>
      <c r="S42" s="25">
        <f t="shared" ref="S42:S45" si="32">Q42/P42</f>
        <v>0.17816695525483989</v>
      </c>
      <c r="T42" s="19">
        <f t="shared" si="10"/>
        <v>0.25865034312755097</v>
      </c>
      <c r="U42" s="10">
        <f t="shared" si="11"/>
        <v>4.3026527297494637</v>
      </c>
      <c r="V42" s="19">
        <f>T42*U42/SQRT(COUNT(G42:I42))</f>
        <v>0.64252307152031252</v>
      </c>
      <c r="W42" s="3">
        <v>0.2</v>
      </c>
      <c r="X42" s="15">
        <f>SQRT(V42^2+W42^2)</f>
        <v>0.67293082663517256</v>
      </c>
      <c r="Y42" s="21">
        <f t="shared" si="14"/>
        <v>3.9085990631924716E-4</v>
      </c>
      <c r="Z42" s="15">
        <v>0</v>
      </c>
      <c r="AA42" s="15">
        <v>0</v>
      </c>
      <c r="AB42" s="3">
        <v>0.01</v>
      </c>
      <c r="AC42" s="3">
        <v>0.01</v>
      </c>
      <c r="AD42" s="3">
        <f t="shared" si="15"/>
        <v>0.01</v>
      </c>
      <c r="AE42" s="3">
        <f t="shared" si="16"/>
        <v>0.01</v>
      </c>
      <c r="AF42" s="15">
        <f t="shared" ref="AF42:AG42" si="33">L42*AD42/D42</f>
        <v>3.5211912101471038E-2</v>
      </c>
      <c r="AG42" s="15">
        <f t="shared" si="33"/>
        <v>3.5211912101471031E-2</v>
      </c>
      <c r="AH42" s="15">
        <f>SQRT((AF42/2)^2+(AG42/2)^2)</f>
        <v>2.4898581825494825E-2</v>
      </c>
      <c r="AI42" s="14">
        <f>SQRT(AH42^2+(16*K42/(PI()^2*$B$6^4*9.81)*(1-($B$6/$B$5)^(4))*Y42)^2)</f>
        <v>0.15427984182058216</v>
      </c>
      <c r="AJ42" s="3">
        <v>0</v>
      </c>
      <c r="AK42" s="7">
        <f t="shared" si="19"/>
        <v>0.14632765544877893</v>
      </c>
      <c r="AL42" s="22">
        <f t="shared" si="20"/>
        <v>6.4924095572707263E-3</v>
      </c>
      <c r="AM42" s="19">
        <f t="shared" si="21"/>
        <v>9.5838558336299937E-3</v>
      </c>
    </row>
    <row r="43" spans="1:41" x14ac:dyDescent="0.25">
      <c r="A43" s="2" t="s">
        <v>64</v>
      </c>
      <c r="B43" s="1" t="s">
        <v>11</v>
      </c>
      <c r="C43" s="3">
        <v>2700</v>
      </c>
      <c r="D43" s="3">
        <v>3.08</v>
      </c>
      <c r="E43" s="3">
        <v>2.96</v>
      </c>
      <c r="F43" s="13">
        <v>0</v>
      </c>
      <c r="G43" s="3">
        <v>14.49</v>
      </c>
      <c r="H43" s="3">
        <v>14.49</v>
      </c>
      <c r="I43" s="3">
        <v>14.42</v>
      </c>
      <c r="J43" s="15">
        <f t="shared" si="3"/>
        <v>14.466666666666667</v>
      </c>
      <c r="K43" s="9">
        <f>$D$3/$B$2/J43</f>
        <v>6.2834309171338068E-3</v>
      </c>
      <c r="L43" s="8">
        <f t="shared" si="4"/>
        <v>10.845268927253079</v>
      </c>
      <c r="M43" s="8">
        <f t="shared" si="5"/>
        <v>10.422725982035425</v>
      </c>
      <c r="N43" s="8">
        <f t="shared" si="6"/>
        <v>10.633997454644252</v>
      </c>
      <c r="O43" s="8">
        <f t="shared" si="28"/>
        <v>11.692307952536082</v>
      </c>
      <c r="P43" s="8">
        <f t="shared" si="29"/>
        <v>15.268140296446393</v>
      </c>
      <c r="Q43" s="8">
        <f t="shared" si="30"/>
        <v>2.352351058303686</v>
      </c>
      <c r="R43" s="22">
        <f t="shared" si="31"/>
        <v>0.49203610142326842</v>
      </c>
      <c r="S43" s="25">
        <f t="shared" si="32"/>
        <v>0.1540692587722152</v>
      </c>
      <c r="T43" s="19">
        <f t="shared" si="10"/>
        <v>4.0414518843273968E-2</v>
      </c>
      <c r="U43" s="10">
        <f t="shared" si="11"/>
        <v>4.3026527297494637</v>
      </c>
      <c r="V43" s="19">
        <f t="shared" si="12"/>
        <v>0.10039523036082122</v>
      </c>
      <c r="W43" s="3">
        <v>0.2</v>
      </c>
      <c r="X43" s="15">
        <f t="shared" si="13"/>
        <v>0.22378382935145777</v>
      </c>
      <c r="Y43" s="21">
        <f t="shared" si="14"/>
        <v>9.7197942311166743E-5</v>
      </c>
      <c r="Z43" s="15">
        <v>0</v>
      </c>
      <c r="AA43" s="15">
        <v>0</v>
      </c>
      <c r="AB43" s="3">
        <v>0.01</v>
      </c>
      <c r="AC43" s="3">
        <v>0.01</v>
      </c>
      <c r="AD43" s="3">
        <f t="shared" si="15"/>
        <v>0.01</v>
      </c>
      <c r="AE43" s="3">
        <f t="shared" si="16"/>
        <v>0.01</v>
      </c>
      <c r="AF43" s="15">
        <f t="shared" ref="AF43:AF49" si="34">L43*AD43/D43</f>
        <v>3.5211912101471038E-2</v>
      </c>
      <c r="AG43" s="15">
        <f t="shared" ref="AG43:AG49" si="35">M43*AE43/E43</f>
        <v>3.5211912101471031E-2</v>
      </c>
      <c r="AH43" s="15">
        <f t="shared" ref="AH43:AH45" si="36">SQRT((AF43/2)^2+(AG43/2)^2)</f>
        <v>2.4898581825494825E-2</v>
      </c>
      <c r="AI43" s="15">
        <f t="shared" ref="AI43:AI49" si="37">SQRT(AH43^2+(16*K43/(PI()^2*$B$6^4*9.81)*(1-($B$6/$B$5)^(4))*Y43)^2)</f>
        <v>4.1133546763215144E-2</v>
      </c>
      <c r="AJ43" s="3">
        <v>0</v>
      </c>
      <c r="AK43" s="22">
        <f t="shared" si="19"/>
        <v>3.6388349848351598E-2</v>
      </c>
      <c r="AL43" s="22">
        <f t="shared" si="20"/>
        <v>1.7309833156330925E-3</v>
      </c>
      <c r="AM43" s="19">
        <f t="shared" si="21"/>
        <v>2.3832863165935709E-3</v>
      </c>
    </row>
    <row r="44" spans="1:41" x14ac:dyDescent="0.25">
      <c r="A44" s="2" t="s">
        <v>64</v>
      </c>
      <c r="B44" s="1" t="s">
        <v>12</v>
      </c>
      <c r="C44" s="3">
        <v>2700</v>
      </c>
      <c r="D44" s="3">
        <v>3.52</v>
      </c>
      <c r="E44" s="3">
        <v>3.53</v>
      </c>
      <c r="F44" s="13">
        <v>0</v>
      </c>
      <c r="G44" s="3">
        <v>41.05</v>
      </c>
      <c r="H44" s="3">
        <v>40.99</v>
      </c>
      <c r="I44" s="3">
        <v>40.99</v>
      </c>
      <c r="J44" s="15">
        <f t="shared" si="3"/>
        <v>41.01</v>
      </c>
      <c r="K44" s="9">
        <f t="shared" ref="K44:K48" si="38">$D$3/$B$2/J44</f>
        <v>2.2165398829846967E-3</v>
      </c>
      <c r="L44" s="8">
        <f t="shared" si="4"/>
        <v>12.394593059717804</v>
      </c>
      <c r="M44" s="8">
        <f t="shared" si="5"/>
        <v>12.429804971819275</v>
      </c>
      <c r="N44" s="8">
        <f t="shared" si="6"/>
        <v>12.41219901576854</v>
      </c>
      <c r="O44" s="8">
        <f t="shared" si="28"/>
        <v>12.543894388300366</v>
      </c>
      <c r="P44" s="8">
        <f t="shared" si="29"/>
        <v>15.268140296446393</v>
      </c>
      <c r="Q44" s="7">
        <f t="shared" si="30"/>
        <v>0.82981415858229679</v>
      </c>
      <c r="R44" s="22">
        <f t="shared" si="31"/>
        <v>0.52787259081264604</v>
      </c>
      <c r="S44" s="25">
        <f>Q44/P44</f>
        <v>5.4349393080664395E-2</v>
      </c>
      <c r="T44" s="19">
        <f t="shared" si="10"/>
        <v>3.4641016151374757E-2</v>
      </c>
      <c r="U44" s="10">
        <f t="shared" si="11"/>
        <v>4.3026527297494637</v>
      </c>
      <c r="V44" s="19">
        <f t="shared" si="12"/>
        <v>8.6053054594982345E-2</v>
      </c>
      <c r="W44" s="3">
        <v>0.2</v>
      </c>
      <c r="X44" s="15">
        <f t="shared" si="13"/>
        <v>0.21772718756537277</v>
      </c>
      <c r="Y44" s="21">
        <f t="shared" si="14"/>
        <v>1.1767885755882431E-5</v>
      </c>
      <c r="Z44" s="15">
        <v>0</v>
      </c>
      <c r="AA44" s="15">
        <v>0</v>
      </c>
      <c r="AB44" s="3">
        <v>0.01</v>
      </c>
      <c r="AC44" s="3">
        <v>0.01</v>
      </c>
      <c r="AD44" s="3">
        <f t="shared" si="15"/>
        <v>0.01</v>
      </c>
      <c r="AE44" s="3">
        <f t="shared" si="16"/>
        <v>0.01</v>
      </c>
      <c r="AF44" s="15">
        <f t="shared" si="34"/>
        <v>3.5211912101471038E-2</v>
      </c>
      <c r="AG44" s="15">
        <f t="shared" si="35"/>
        <v>3.5211912101471038E-2</v>
      </c>
      <c r="AH44" s="15">
        <f t="shared" si="36"/>
        <v>2.4898581825494828E-2</v>
      </c>
      <c r="AI44" s="15">
        <f t="shared" si="37"/>
        <v>2.4937819217776595E-2</v>
      </c>
      <c r="AJ44" s="3">
        <v>0</v>
      </c>
      <c r="AK44" s="10">
        <f t="shared" si="19"/>
        <v>4.405586514266026E-3</v>
      </c>
      <c r="AL44" s="22">
        <f t="shared" si="20"/>
        <v>1.0494341575438583E-3</v>
      </c>
      <c r="AM44" s="20">
        <f t="shared" si="21"/>
        <v>2.885476835244572E-4</v>
      </c>
    </row>
    <row r="45" spans="1:41" x14ac:dyDescent="0.25">
      <c r="A45" s="2" t="s">
        <v>64</v>
      </c>
      <c r="B45" s="1" t="s">
        <v>13</v>
      </c>
      <c r="C45" s="3">
        <v>2700</v>
      </c>
      <c r="D45" s="3">
        <v>3.55</v>
      </c>
      <c r="E45" s="3">
        <v>3.55</v>
      </c>
      <c r="F45" s="13">
        <v>0</v>
      </c>
      <c r="G45" s="13">
        <v>0</v>
      </c>
      <c r="H45" s="13">
        <v>0</v>
      </c>
      <c r="I45" s="13">
        <v>0</v>
      </c>
      <c r="J45" s="15">
        <f t="shared" si="3"/>
        <v>0</v>
      </c>
      <c r="K45" s="13">
        <v>0</v>
      </c>
      <c r="L45" s="8">
        <f>5*D45/($B$2*9.81)*6894.76</f>
        <v>12.500228796022217</v>
      </c>
      <c r="M45" s="8">
        <f>5*E45/($B$2*9.81)*6894.76</f>
        <v>12.500228796022217</v>
      </c>
      <c r="N45" s="8">
        <f t="shared" si="6"/>
        <v>12.500228796022217</v>
      </c>
      <c r="O45" s="8">
        <f t="shared" si="28"/>
        <v>12.500228796022217</v>
      </c>
      <c r="P45" s="8">
        <f>$B$7/2*2*PI()/60*C45</f>
        <v>15.268140296446393</v>
      </c>
      <c r="Q45" s="7">
        <f t="shared" si="30"/>
        <v>0</v>
      </c>
      <c r="R45" s="22">
        <f t="shared" si="31"/>
        <v>0.52603505387142835</v>
      </c>
      <c r="S45" s="25">
        <f t="shared" si="32"/>
        <v>0</v>
      </c>
      <c r="T45" s="19">
        <f t="shared" si="10"/>
        <v>0</v>
      </c>
      <c r="U45" s="10">
        <f t="shared" si="11"/>
        <v>4.3026527297494637</v>
      </c>
      <c r="V45" s="19">
        <f t="shared" si="12"/>
        <v>0</v>
      </c>
      <c r="W45" s="19">
        <v>0</v>
      </c>
      <c r="X45" s="15">
        <f t="shared" si="13"/>
        <v>0</v>
      </c>
      <c r="Y45" s="15">
        <f t="shared" si="14"/>
        <v>0</v>
      </c>
      <c r="Z45" s="15">
        <v>0</v>
      </c>
      <c r="AA45" s="15">
        <v>0</v>
      </c>
      <c r="AB45" s="3">
        <v>0.01</v>
      </c>
      <c r="AC45" s="3">
        <v>0.01</v>
      </c>
      <c r="AD45" s="3">
        <f t="shared" si="15"/>
        <v>0.01</v>
      </c>
      <c r="AE45" s="3">
        <f t="shared" si="16"/>
        <v>0.01</v>
      </c>
      <c r="AF45" s="15">
        <f t="shared" si="34"/>
        <v>3.5211912101471038E-2</v>
      </c>
      <c r="AG45" s="15">
        <f t="shared" si="35"/>
        <v>3.5211912101471038E-2</v>
      </c>
      <c r="AH45" s="15">
        <f t="shared" si="36"/>
        <v>2.4898581825494828E-2</v>
      </c>
      <c r="AI45" s="15">
        <f t="shared" si="37"/>
        <v>2.4898581825494828E-2</v>
      </c>
      <c r="AJ45" s="3">
        <v>0</v>
      </c>
      <c r="AK45" s="15">
        <f t="shared" si="19"/>
        <v>0</v>
      </c>
      <c r="AL45" s="22">
        <f t="shared" si="20"/>
        <v>1.0477829682656841E-3</v>
      </c>
      <c r="AM45" s="19">
        <f t="shared" si="21"/>
        <v>0</v>
      </c>
    </row>
    <row r="46" spans="1:41" x14ac:dyDescent="0.25">
      <c r="A46" s="2" t="s">
        <v>78</v>
      </c>
      <c r="B46" s="1" t="s">
        <v>10</v>
      </c>
      <c r="C46" s="3">
        <v>2700</v>
      </c>
      <c r="D46" s="3">
        <v>0.68</v>
      </c>
      <c r="E46" s="3">
        <v>1.68</v>
      </c>
      <c r="F46" s="13">
        <v>0</v>
      </c>
      <c r="G46" s="3">
        <v>16.64</v>
      </c>
      <c r="H46" s="3">
        <v>16.170000000000002</v>
      </c>
      <c r="I46" s="3">
        <v>16.03</v>
      </c>
      <c r="J46" s="15">
        <f t="shared" si="3"/>
        <v>16.28</v>
      </c>
      <c r="K46" s="9">
        <f t="shared" si="38"/>
        <v>5.5835565479854053E-3</v>
      </c>
      <c r="L46" s="7">
        <f t="shared" ref="L46:L49" si="39">5*D46/($B$2*9.81)*6894.76</f>
        <v>2.3944100229000305</v>
      </c>
      <c r="M46" s="7">
        <f t="shared" ref="M46:M49" si="40">5*E46/($B$2*9.81)*6894.76</f>
        <v>5.9156012330471341</v>
      </c>
      <c r="N46" s="7">
        <f>L46+M46</f>
        <v>8.3100112559471651</v>
      </c>
      <c r="O46" s="8">
        <f t="shared" si="28"/>
        <v>9.1456936498984369</v>
      </c>
      <c r="P46" s="8">
        <f t="shared" ref="P46:P49" si="41">$B$7/2*2*PI()/60*C46</f>
        <v>15.268140296446393</v>
      </c>
      <c r="Q46" s="7">
        <f>K46/($B$8*(2*PI()*$B$7/2-$B$10*$B$9))</f>
        <v>2.0903365260110558</v>
      </c>
      <c r="R46" s="22">
        <f t="shared" ref="R46:R49" si="42">O46*9.81/P46^2</f>
        <v>0.38486939161840239</v>
      </c>
      <c r="S46" s="25">
        <f t="shared" ref="S46:S49" si="43">Q46/P46</f>
        <v>0.13690839129226329</v>
      </c>
      <c r="T46" s="19">
        <f t="shared" si="10"/>
        <v>0.31953090617340874</v>
      </c>
      <c r="U46" s="10">
        <f t="shared" si="11"/>
        <v>4.3026527297494637</v>
      </c>
      <c r="V46" s="19">
        <f t="shared" si="12"/>
        <v>0.7937587740951213</v>
      </c>
      <c r="W46" s="3">
        <v>0.2</v>
      </c>
      <c r="X46" s="15">
        <f t="shared" si="13"/>
        <v>0.81856764622906386</v>
      </c>
      <c r="Y46" s="21">
        <f t="shared" si="14"/>
        <v>2.8074439441469842E-4</v>
      </c>
      <c r="Z46" s="15">
        <v>0</v>
      </c>
      <c r="AA46" s="15">
        <v>0</v>
      </c>
      <c r="AB46" s="3">
        <v>0.01</v>
      </c>
      <c r="AC46" s="3">
        <v>0.01</v>
      </c>
      <c r="AD46" s="3">
        <f t="shared" ref="AD46:AD49" si="44">SQRT(Z46^2+AB46^2)</f>
        <v>0.01</v>
      </c>
      <c r="AE46" s="3">
        <f t="shared" ref="AE46:AE49" si="45">SQRT(AA46^2+AC46^2)</f>
        <v>0.01</v>
      </c>
      <c r="AF46" s="15">
        <f t="shared" si="34"/>
        <v>3.5211912101471031E-2</v>
      </c>
      <c r="AG46" s="15">
        <f t="shared" si="35"/>
        <v>3.5211912101471038E-2</v>
      </c>
      <c r="AH46" s="15">
        <f>SQRT(AF46^2+AG46^2)</f>
        <v>4.979716365098965E-2</v>
      </c>
      <c r="AI46" s="14">
        <f t="shared" si="37"/>
        <v>9.7683179625164276E-2</v>
      </c>
      <c r="AJ46" s="3">
        <v>0</v>
      </c>
      <c r="AK46" s="7">
        <f t="shared" si="19"/>
        <v>0.10510330773485922</v>
      </c>
      <c r="AL46" s="22">
        <f t="shared" si="20"/>
        <v>4.1107068914456356E-3</v>
      </c>
      <c r="AM46" s="19">
        <f t="shared" si="21"/>
        <v>6.8838316713215981E-3</v>
      </c>
    </row>
    <row r="47" spans="1:41" x14ac:dyDescent="0.25">
      <c r="A47" s="2" t="s">
        <v>78</v>
      </c>
      <c r="B47" s="1" t="s">
        <v>11</v>
      </c>
      <c r="C47" s="3">
        <v>2700</v>
      </c>
      <c r="D47" s="3">
        <v>0.9</v>
      </c>
      <c r="E47" s="3">
        <v>1.84</v>
      </c>
      <c r="F47" s="13">
        <v>0</v>
      </c>
      <c r="G47" s="3">
        <v>16.71</v>
      </c>
      <c r="H47" s="3">
        <v>16.579999999999998</v>
      </c>
      <c r="I47" s="3">
        <v>16.760000000000002</v>
      </c>
      <c r="J47" s="15">
        <f t="shared" si="3"/>
        <v>16.683333333333334</v>
      </c>
      <c r="K47" s="9">
        <f t="shared" si="38"/>
        <v>5.4485694666055393E-3</v>
      </c>
      <c r="L47" s="7">
        <f t="shared" si="39"/>
        <v>3.1690720891323929</v>
      </c>
      <c r="M47" s="7">
        <f t="shared" si="40"/>
        <v>6.4789918266706712</v>
      </c>
      <c r="N47" s="7">
        <f t="shared" ref="N47:N49" si="46">L47+M47</f>
        <v>9.6480639158030641</v>
      </c>
      <c r="O47" s="8">
        <f t="shared" si="28"/>
        <v>10.443828120193732</v>
      </c>
      <c r="P47" s="8">
        <f t="shared" si="41"/>
        <v>15.268140296446393</v>
      </c>
      <c r="Q47" s="7">
        <f t="shared" ref="Q47:Q49" si="47">K47/($B$8*(2*PI()*$B$7/2-$B$10*$B$9))</f>
        <v>2.0398009176899095</v>
      </c>
      <c r="R47" s="22">
        <f t="shared" si="42"/>
        <v>0.43949753060346181</v>
      </c>
      <c r="S47" s="25">
        <f t="shared" si="43"/>
        <v>0.13359851809618661</v>
      </c>
      <c r="T47" s="19">
        <f t="shared" si="10"/>
        <v>9.2915732431777406E-2</v>
      </c>
      <c r="U47" s="10">
        <f t="shared" si="11"/>
        <v>4.3026527297494637</v>
      </c>
      <c r="V47" s="19">
        <f t="shared" si="12"/>
        <v>0.23081547494868154</v>
      </c>
      <c r="W47" s="3">
        <v>0.2</v>
      </c>
      <c r="X47" s="15">
        <f t="shared" si="13"/>
        <v>0.3054108437429579</v>
      </c>
      <c r="Y47" s="21">
        <f t="shared" si="14"/>
        <v>9.9743388490796157E-5</v>
      </c>
      <c r="Z47" s="15">
        <v>0</v>
      </c>
      <c r="AA47" s="15">
        <v>0</v>
      </c>
      <c r="AB47" s="3">
        <v>0.01</v>
      </c>
      <c r="AC47" s="3">
        <v>0.01</v>
      </c>
      <c r="AD47" s="3">
        <f t="shared" si="44"/>
        <v>0.01</v>
      </c>
      <c r="AE47" s="3">
        <f t="shared" si="45"/>
        <v>0.01</v>
      </c>
      <c r="AF47" s="15">
        <f t="shared" si="34"/>
        <v>3.5211912101471031E-2</v>
      </c>
      <c r="AG47" s="15">
        <f t="shared" si="35"/>
        <v>3.5211912101471038E-2</v>
      </c>
      <c r="AH47" s="15">
        <f t="shared" ref="AH47:AH49" si="48">SQRT(AF47^2+AG47^2)</f>
        <v>4.979716365098965E-2</v>
      </c>
      <c r="AI47" s="15">
        <f t="shared" si="37"/>
        <v>5.7694103995025177E-2</v>
      </c>
      <c r="AJ47" s="3">
        <v>0</v>
      </c>
      <c r="AK47" s="22">
        <f t="shared" si="19"/>
        <v>3.7341297862497604E-2</v>
      </c>
      <c r="AL47" s="22">
        <f t="shared" si="20"/>
        <v>2.4278852490079591E-3</v>
      </c>
      <c r="AM47" s="19">
        <f t="shared" si="21"/>
        <v>2.4457004676063047E-3</v>
      </c>
    </row>
    <row r="48" spans="1:41" x14ac:dyDescent="0.25">
      <c r="A48" s="2" t="s">
        <v>78</v>
      </c>
      <c r="B48" s="1" t="s">
        <v>12</v>
      </c>
      <c r="C48" s="3">
        <v>2700</v>
      </c>
      <c r="D48" s="3">
        <v>2.89</v>
      </c>
      <c r="E48" s="3">
        <v>3.26</v>
      </c>
      <c r="F48" s="13">
        <v>0</v>
      </c>
      <c r="G48" s="3">
        <v>30.52</v>
      </c>
      <c r="H48" s="3">
        <v>30.23</v>
      </c>
      <c r="I48" s="3">
        <v>30.67</v>
      </c>
      <c r="J48" s="15">
        <f t="shared" si="3"/>
        <v>30.473333333333333</v>
      </c>
      <c r="K48" s="9">
        <f t="shared" si="38"/>
        <v>2.9829457646423892E-3</v>
      </c>
      <c r="L48" s="8">
        <f t="shared" si="39"/>
        <v>10.17624259732513</v>
      </c>
      <c r="M48" s="8">
        <f t="shared" si="40"/>
        <v>11.479083345079555</v>
      </c>
      <c r="N48" s="8">
        <f t="shared" si="46"/>
        <v>21.655325942404687</v>
      </c>
      <c r="O48" s="8">
        <f t="shared" si="28"/>
        <v>21.893837884806008</v>
      </c>
      <c r="P48" s="8">
        <f t="shared" si="41"/>
        <v>15.268140296446393</v>
      </c>
      <c r="Q48" s="7">
        <f t="shared" si="47"/>
        <v>1.1167363370201266</v>
      </c>
      <c r="R48" s="22">
        <f t="shared" si="42"/>
        <v>0.92133723143140611</v>
      </c>
      <c r="S48" s="25">
        <f t="shared" si="43"/>
        <v>7.3141608299213956E-2</v>
      </c>
      <c r="T48" s="19">
        <f t="shared" si="10"/>
        <v>0.2236813209307687</v>
      </c>
      <c r="U48" s="10">
        <f t="shared" si="11"/>
        <v>4.3026527297494637</v>
      </c>
      <c r="V48" s="19">
        <f t="shared" si="12"/>
        <v>0.55565520473825125</v>
      </c>
      <c r="W48" s="3">
        <v>0.2</v>
      </c>
      <c r="X48" s="15">
        <f t="shared" si="13"/>
        <v>0.59055288209669077</v>
      </c>
      <c r="Y48" s="21">
        <f t="shared" si="14"/>
        <v>5.7807500058444974E-5</v>
      </c>
      <c r="Z48" s="15">
        <v>0</v>
      </c>
      <c r="AA48" s="15">
        <v>0</v>
      </c>
      <c r="AB48" s="3">
        <v>0.01</v>
      </c>
      <c r="AC48" s="3">
        <v>0.01</v>
      </c>
      <c r="AD48" s="3">
        <f t="shared" si="44"/>
        <v>0.01</v>
      </c>
      <c r="AE48" s="3">
        <f t="shared" si="45"/>
        <v>0.01</v>
      </c>
      <c r="AF48" s="15">
        <f t="shared" si="34"/>
        <v>3.5211912101471038E-2</v>
      </c>
      <c r="AG48" s="15">
        <f t="shared" si="35"/>
        <v>3.5211912101471031E-2</v>
      </c>
      <c r="AH48" s="15">
        <f t="shared" si="48"/>
        <v>4.979716365098965E-2</v>
      </c>
      <c r="AI48" s="15">
        <f t="shared" si="37"/>
        <v>5.0647966676196698E-2</v>
      </c>
      <c r="AJ48" s="3">
        <v>0</v>
      </c>
      <c r="AK48" s="22">
        <f t="shared" si="19"/>
        <v>2.1641605634522113E-2</v>
      </c>
      <c r="AL48" s="22">
        <f t="shared" si="20"/>
        <v>2.1313694584109985E-3</v>
      </c>
      <c r="AM48" s="19">
        <f t="shared" si="21"/>
        <v>1.4174356021315262E-3</v>
      </c>
    </row>
    <row r="49" spans="1:39" x14ac:dyDescent="0.25">
      <c r="A49" s="2" t="s">
        <v>78</v>
      </c>
      <c r="B49" s="1" t="s">
        <v>13</v>
      </c>
      <c r="C49" s="3">
        <v>2700</v>
      </c>
      <c r="D49" s="3">
        <v>3.52</v>
      </c>
      <c r="E49" s="3">
        <v>3.55</v>
      </c>
      <c r="F49" s="13">
        <v>0</v>
      </c>
      <c r="G49" s="13">
        <v>0</v>
      </c>
      <c r="H49" s="13">
        <v>0</v>
      </c>
      <c r="I49" s="13">
        <v>0</v>
      </c>
      <c r="J49" s="15">
        <f t="shared" si="3"/>
        <v>0</v>
      </c>
      <c r="K49" s="13">
        <v>0</v>
      </c>
      <c r="L49" s="8">
        <f t="shared" si="39"/>
        <v>12.394593059717804</v>
      </c>
      <c r="M49" s="8">
        <f t="shared" si="40"/>
        <v>12.500228796022217</v>
      </c>
      <c r="N49" s="8">
        <f t="shared" si="46"/>
        <v>24.89482185574002</v>
      </c>
      <c r="O49" s="8">
        <f t="shared" si="28"/>
        <v>24.89482185574002</v>
      </c>
      <c r="P49" s="8">
        <f t="shared" si="41"/>
        <v>15.268140296446393</v>
      </c>
      <c r="Q49" s="7">
        <f t="shared" si="47"/>
        <v>0</v>
      </c>
      <c r="R49" s="22">
        <f t="shared" si="42"/>
        <v>1.0476247410904223</v>
      </c>
      <c r="S49" s="25">
        <f t="shared" si="43"/>
        <v>0</v>
      </c>
      <c r="T49" s="19">
        <f t="shared" si="10"/>
        <v>0</v>
      </c>
      <c r="U49" s="10">
        <f t="shared" si="11"/>
        <v>4.3026527297494637</v>
      </c>
      <c r="V49" s="19">
        <f t="shared" si="12"/>
        <v>0</v>
      </c>
      <c r="W49" s="19">
        <v>0</v>
      </c>
      <c r="X49" s="15">
        <f t="shared" si="13"/>
        <v>0</v>
      </c>
      <c r="Y49" s="15">
        <f t="shared" si="14"/>
        <v>0</v>
      </c>
      <c r="Z49" s="15">
        <v>0</v>
      </c>
      <c r="AA49" s="15">
        <v>0</v>
      </c>
      <c r="AB49" s="3">
        <v>0.01</v>
      </c>
      <c r="AC49" s="3">
        <v>0.01</v>
      </c>
      <c r="AD49" s="3">
        <f t="shared" si="44"/>
        <v>0.01</v>
      </c>
      <c r="AE49" s="3">
        <f t="shared" si="45"/>
        <v>0.01</v>
      </c>
      <c r="AF49" s="15">
        <f t="shared" si="34"/>
        <v>3.5211912101471038E-2</v>
      </c>
      <c r="AG49" s="15">
        <f t="shared" si="35"/>
        <v>3.5211912101471038E-2</v>
      </c>
      <c r="AH49" s="15">
        <f t="shared" si="48"/>
        <v>4.9797163650989656E-2</v>
      </c>
      <c r="AI49" s="15">
        <f t="shared" si="37"/>
        <v>4.9797163650989656E-2</v>
      </c>
      <c r="AJ49" s="3">
        <v>0</v>
      </c>
      <c r="AK49" s="15">
        <f t="shared" si="19"/>
        <v>0</v>
      </c>
      <c r="AL49" s="22">
        <f t="shared" si="20"/>
        <v>2.0955659365313687E-3</v>
      </c>
      <c r="AM49" s="19">
        <f t="shared" si="21"/>
        <v>0</v>
      </c>
    </row>
    <row r="51" spans="1:39" x14ac:dyDescent="0.25">
      <c r="A51" s="2" t="s">
        <v>79</v>
      </c>
      <c r="B51" s="3">
        <f>180-147</f>
        <v>33</v>
      </c>
    </row>
    <row r="52" spans="1:39" x14ac:dyDescent="0.25">
      <c r="A52" s="2" t="s">
        <v>80</v>
      </c>
      <c r="B52" s="35">
        <f>_xlfn.COT(RADIANS(B51))</f>
        <v>1.5398649638145827</v>
      </c>
    </row>
    <row r="54" spans="1:39" x14ac:dyDescent="0.25">
      <c r="C54" s="33" t="s">
        <v>81</v>
      </c>
      <c r="D54" s="33"/>
      <c r="E54" s="33"/>
      <c r="F54" s="33" t="s">
        <v>82</v>
      </c>
      <c r="G54" s="33"/>
      <c r="H54" s="33"/>
    </row>
    <row r="55" spans="1:39" ht="31.5" x14ac:dyDescent="0.25">
      <c r="C55" s="17" t="s">
        <v>22</v>
      </c>
      <c r="D55" s="17" t="s">
        <v>24</v>
      </c>
      <c r="E55" s="17" t="s">
        <v>59</v>
      </c>
      <c r="F55" s="17" t="s">
        <v>22</v>
      </c>
      <c r="G55" s="17" t="s">
        <v>24</v>
      </c>
      <c r="H55" s="17" t="s">
        <v>59</v>
      </c>
    </row>
    <row r="56" spans="1:39" x14ac:dyDescent="0.25">
      <c r="A56" s="2" t="s">
        <v>64</v>
      </c>
      <c r="B56" s="1" t="s">
        <v>10</v>
      </c>
      <c r="C56" s="9">
        <f>K42</f>
        <v>7.2662110792328068E-3</v>
      </c>
      <c r="D56" s="7">
        <f>N42</f>
        <v>9.8417294323611557</v>
      </c>
      <c r="E56" s="8">
        <f>O42</f>
        <v>11.256986832203168</v>
      </c>
      <c r="F56" s="3">
        <f>2*K20</f>
        <v>9.715030345693168E-3</v>
      </c>
      <c r="G56" s="7">
        <f>N20</f>
        <v>5.2817868152206549</v>
      </c>
      <c r="H56" s="7">
        <f>G56+8*F56^2/(PI()^2*$B$6^4*9.81)*(1-($B$6/$B$5)^4)</f>
        <v>7.8117123467137377</v>
      </c>
    </row>
    <row r="57" spans="1:39" x14ac:dyDescent="0.25">
      <c r="A57" s="2" t="s">
        <v>64</v>
      </c>
      <c r="B57" s="1" t="s">
        <v>11</v>
      </c>
      <c r="C57" s="9">
        <f t="shared" ref="C57:C58" si="49">K43</f>
        <v>6.2834309171338068E-3</v>
      </c>
      <c r="D57" s="8">
        <f>N43</f>
        <v>10.633997454644252</v>
      </c>
      <c r="E57" s="8">
        <f t="shared" ref="E57" si="50">O43</f>
        <v>11.692307952536082</v>
      </c>
      <c r="F57" s="9">
        <f t="shared" ref="F57:F59" si="51">2*K21</f>
        <v>9.4984640126648291E-3</v>
      </c>
      <c r="G57" s="7">
        <f t="shared" ref="G57:G59" si="52">N21</f>
        <v>5.7043297604383083</v>
      </c>
      <c r="H57" s="7">
        <f t="shared" ref="H57:H59" si="53">G57+8*F57^2/(PI()^2*$B$6^4*9.81)*(1-($B$6/$B$5)^4)</f>
        <v>8.1227188682608311</v>
      </c>
    </row>
    <row r="58" spans="1:39" x14ac:dyDescent="0.25">
      <c r="A58" s="2" t="s">
        <v>64</v>
      </c>
      <c r="B58" s="1" t="s">
        <v>12</v>
      </c>
      <c r="C58" s="9">
        <f t="shared" si="49"/>
        <v>2.2165398829846967E-3</v>
      </c>
      <c r="D58" s="8">
        <f t="shared" ref="D58:E58" si="54">N44</f>
        <v>12.41219901576854</v>
      </c>
      <c r="E58" s="8">
        <f t="shared" si="54"/>
        <v>12.543894388300366</v>
      </c>
      <c r="F58" s="9">
        <f t="shared" si="51"/>
        <v>5.8225878467728668E-3</v>
      </c>
      <c r="G58" s="8">
        <f t="shared" si="52"/>
        <v>10.352302157832483</v>
      </c>
      <c r="H58" s="8">
        <f t="shared" si="53"/>
        <v>11.261066993909452</v>
      </c>
    </row>
    <row r="59" spans="1:39" x14ac:dyDescent="0.25">
      <c r="A59" s="2" t="s">
        <v>64</v>
      </c>
      <c r="B59" s="1" t="s">
        <v>13</v>
      </c>
      <c r="C59" s="13">
        <f>K45</f>
        <v>0</v>
      </c>
      <c r="D59" s="8">
        <f t="shared" ref="D59:E59" si="55">N45</f>
        <v>12.500228796022217</v>
      </c>
      <c r="E59" s="8">
        <f t="shared" si="55"/>
        <v>12.500228796022217</v>
      </c>
      <c r="F59" s="13">
        <f t="shared" si="51"/>
        <v>0</v>
      </c>
      <c r="G59" s="8">
        <f t="shared" si="52"/>
        <v>12.394593059717804</v>
      </c>
      <c r="H59" s="8">
        <f t="shared" si="53"/>
        <v>12.394593059717804</v>
      </c>
    </row>
    <row r="60" spans="1:39" x14ac:dyDescent="0.25">
      <c r="A60" s="2" t="s">
        <v>78</v>
      </c>
      <c r="B60" s="1" t="s">
        <v>10</v>
      </c>
      <c r="C60" s="27">
        <f t="shared" ref="C60:C63" si="56">K46</f>
        <v>5.5835565479854053E-3</v>
      </c>
      <c r="D60" s="7">
        <f>N46</f>
        <v>8.3100112559471651</v>
      </c>
      <c r="E60" s="8">
        <f t="shared" ref="E60" si="57">O46</f>
        <v>9.1456936498984369</v>
      </c>
      <c r="F60" s="9">
        <f>K20</f>
        <v>4.857515172846584E-3</v>
      </c>
      <c r="G60" s="8">
        <f>2*N20</f>
        <v>10.56357363044131</v>
      </c>
      <c r="H60" s="3">
        <f>G60+8*F60^2/(PI()^2*$B$6^4*9.81)*(1-($B$6/$B$5)^4)</f>
        <v>11.196055013314581</v>
      </c>
    </row>
    <row r="61" spans="1:39" x14ac:dyDescent="0.25">
      <c r="A61" s="2" t="s">
        <v>78</v>
      </c>
      <c r="B61" s="1" t="s">
        <v>11</v>
      </c>
      <c r="C61" s="27">
        <f t="shared" si="56"/>
        <v>5.4485694666055393E-3</v>
      </c>
      <c r="D61" s="7">
        <f t="shared" ref="D61:E61" si="58">N47</f>
        <v>9.6480639158030641</v>
      </c>
      <c r="E61" s="8">
        <f t="shared" si="58"/>
        <v>10.443828120193732</v>
      </c>
      <c r="F61" s="9">
        <f t="shared" ref="F61:F63" si="59">K21</f>
        <v>4.7492320063324146E-3</v>
      </c>
      <c r="G61" s="8">
        <f t="shared" ref="G61:G63" si="60">2*N21</f>
        <v>11.408659520876617</v>
      </c>
      <c r="H61" s="8">
        <f t="shared" ref="H61:H63" si="61">G61+8*F61^2/(PI()^2*$B$6^4*9.81)*(1-($B$6/$B$5)^4)</f>
        <v>12.013256797832247</v>
      </c>
    </row>
    <row r="62" spans="1:39" x14ac:dyDescent="0.25">
      <c r="A62" s="2" t="s">
        <v>78</v>
      </c>
      <c r="B62" s="1" t="s">
        <v>12</v>
      </c>
      <c r="C62" s="27">
        <f t="shared" si="56"/>
        <v>2.9829457646423892E-3</v>
      </c>
      <c r="D62" s="8">
        <f t="shared" ref="D62:E62" si="62">N48</f>
        <v>21.655325942404687</v>
      </c>
      <c r="E62" s="8">
        <f t="shared" si="62"/>
        <v>21.893837884806008</v>
      </c>
      <c r="F62" s="9">
        <f t="shared" si="59"/>
        <v>2.9112939233864334E-3</v>
      </c>
      <c r="G62" s="3">
        <f t="shared" si="60"/>
        <v>20.704604315664966</v>
      </c>
      <c r="H62" s="8">
        <f t="shared" si="61"/>
        <v>20.931795524684208</v>
      </c>
    </row>
    <row r="63" spans="1:39" x14ac:dyDescent="0.25">
      <c r="A63" s="2" t="s">
        <v>78</v>
      </c>
      <c r="B63" s="1" t="s">
        <v>13</v>
      </c>
      <c r="C63" s="13">
        <f t="shared" si="56"/>
        <v>0</v>
      </c>
      <c r="D63" s="8">
        <f t="shared" ref="D63:E63" si="63">N49</f>
        <v>24.89482185574002</v>
      </c>
      <c r="E63" s="8">
        <f t="shared" si="63"/>
        <v>24.89482185574002</v>
      </c>
      <c r="F63" s="13">
        <f t="shared" si="59"/>
        <v>0</v>
      </c>
      <c r="G63" s="8">
        <f t="shared" si="60"/>
        <v>24.789186119435609</v>
      </c>
      <c r="H63" s="8">
        <f t="shared" si="61"/>
        <v>24.789186119435609</v>
      </c>
    </row>
    <row r="64" spans="1:39" x14ac:dyDescent="0.25">
      <c r="D64" s="8"/>
      <c r="E64" s="8"/>
    </row>
    <row r="65" spans="1:14" ht="47.25" x14ac:dyDescent="0.25">
      <c r="A65" s="2" t="s">
        <v>90</v>
      </c>
      <c r="B65" s="2" t="s">
        <v>95</v>
      </c>
      <c r="C65" s="3" t="s">
        <v>94</v>
      </c>
      <c r="D65" s="3" t="s">
        <v>93</v>
      </c>
      <c r="E65" s="17" t="s">
        <v>22</v>
      </c>
      <c r="F65" s="3" t="s">
        <v>14</v>
      </c>
      <c r="G65" s="3" t="s">
        <v>88</v>
      </c>
      <c r="H65" s="3" t="s">
        <v>89</v>
      </c>
      <c r="I65" s="17" t="s">
        <v>96</v>
      </c>
      <c r="J65" s="18" t="s">
        <v>97</v>
      </c>
      <c r="K65" s="17" t="s">
        <v>98</v>
      </c>
      <c r="L65" s="17" t="s">
        <v>99</v>
      </c>
    </row>
    <row r="66" spans="1:14" x14ac:dyDescent="0.25">
      <c r="C66" s="3" t="s">
        <v>29</v>
      </c>
      <c r="D66" s="3" t="s">
        <v>29</v>
      </c>
      <c r="E66" s="3" t="s">
        <v>87</v>
      </c>
      <c r="F66" s="3" t="s">
        <v>19</v>
      </c>
      <c r="G66" s="3" t="s">
        <v>29</v>
      </c>
      <c r="H66" s="3" t="s">
        <v>86</v>
      </c>
      <c r="I66" s="3" t="s">
        <v>31</v>
      </c>
      <c r="J66" s="15" t="s">
        <v>31</v>
      </c>
    </row>
    <row r="67" spans="1:14" x14ac:dyDescent="0.25">
      <c r="A67" s="2" t="s">
        <v>92</v>
      </c>
      <c r="B67" s="3">
        <v>0.108</v>
      </c>
      <c r="C67" s="22">
        <f>$B$8</f>
        <v>9.0000000000000011E-3</v>
      </c>
      <c r="D67" s="3">
        <f>$B$9</f>
        <v>8.5000000000000006E-3</v>
      </c>
      <c r="E67" s="10">
        <v>8.0000000000000002E-3</v>
      </c>
      <c r="F67" s="3">
        <v>3600</v>
      </c>
      <c r="G67" s="8">
        <v>10.3</v>
      </c>
      <c r="H67" s="3">
        <v>52</v>
      </c>
      <c r="I67" s="8">
        <f>B67/2*F67*2*PI()/60</f>
        <v>20.357520395261862</v>
      </c>
      <c r="J67" s="14">
        <f>E67/(C67*(2*PI()*B67/2-$B$10*D67))</f>
        <v>2.9949893162848213</v>
      </c>
      <c r="K67" s="7">
        <f>G67*9.81/I67^2</f>
        <v>0.24381278479778079</v>
      </c>
      <c r="L67" s="7">
        <f>J67/I67</f>
        <v>0.14711955376362507</v>
      </c>
    </row>
    <row r="68" spans="1:14" x14ac:dyDescent="0.25">
      <c r="A68" s="2" t="s">
        <v>92</v>
      </c>
      <c r="B68" s="3">
        <v>0.108</v>
      </c>
      <c r="C68" s="22">
        <f t="shared" ref="C68:C86" si="64">$B$8</f>
        <v>9.0000000000000011E-3</v>
      </c>
      <c r="D68" s="3">
        <f t="shared" ref="D68:D86" si="65">$B$9</f>
        <v>8.5000000000000006E-3</v>
      </c>
      <c r="E68" s="10">
        <v>6.7000000000000002E-3</v>
      </c>
      <c r="F68" s="3">
        <v>3600</v>
      </c>
      <c r="G68" s="8">
        <v>16.100000000000001</v>
      </c>
      <c r="H68" s="3">
        <v>71</v>
      </c>
      <c r="I68" s="8">
        <f t="shared" ref="I68:I106" si="66">B68/2*F68*2*PI()/60</f>
        <v>20.357520395261862</v>
      </c>
      <c r="J68" s="14">
        <f t="shared" ref="J68:J106" si="67">E68/(C68*(2*PI()*B68/2-$B$10*D68))</f>
        <v>2.5083035523885377</v>
      </c>
      <c r="K68" s="7">
        <f t="shared" ref="K68:K106" si="68">G68*9.81/I68^2</f>
        <v>0.38110542089750205</v>
      </c>
      <c r="L68" s="7">
        <f t="shared" ref="L68:L106" si="69">J68/I68</f>
        <v>0.123212626277036</v>
      </c>
    </row>
    <row r="69" spans="1:14" x14ac:dyDescent="0.25">
      <c r="A69" s="2" t="s">
        <v>92</v>
      </c>
      <c r="B69" s="3">
        <v>0.108</v>
      </c>
      <c r="C69" s="22">
        <f t="shared" si="64"/>
        <v>9.0000000000000011E-3</v>
      </c>
      <c r="D69" s="3">
        <f t="shared" si="65"/>
        <v>8.5000000000000006E-3</v>
      </c>
      <c r="E69" s="10">
        <v>5.4000000000000003E-3</v>
      </c>
      <c r="F69" s="3">
        <v>3600</v>
      </c>
      <c r="G69" s="8">
        <v>19.399999999999999</v>
      </c>
      <c r="H69" s="3">
        <v>73</v>
      </c>
      <c r="I69" s="8">
        <f t="shared" si="66"/>
        <v>20.357520395261862</v>
      </c>
      <c r="J69" s="14">
        <f t="shared" si="67"/>
        <v>2.0216177884922546</v>
      </c>
      <c r="K69" s="7">
        <f t="shared" si="68"/>
        <v>0.45922019660941232</v>
      </c>
      <c r="L69" s="7">
        <f t="shared" si="69"/>
        <v>9.9305698790446928E-2</v>
      </c>
      <c r="M69" s="8"/>
      <c r="N69" s="8"/>
    </row>
    <row r="70" spans="1:14" x14ac:dyDescent="0.25">
      <c r="A70" s="2" t="s">
        <v>92</v>
      </c>
      <c r="B70" s="3">
        <v>0.108</v>
      </c>
      <c r="C70" s="22">
        <f t="shared" si="64"/>
        <v>9.0000000000000011E-3</v>
      </c>
      <c r="D70" s="3">
        <f t="shared" si="65"/>
        <v>8.5000000000000006E-3</v>
      </c>
      <c r="E70" s="30">
        <v>4.0000000000000001E-3</v>
      </c>
      <c r="F70" s="3">
        <v>3600</v>
      </c>
      <c r="G70" s="31">
        <v>21.6</v>
      </c>
      <c r="H70" s="6">
        <v>69</v>
      </c>
      <c r="I70" s="8">
        <f t="shared" si="66"/>
        <v>20.357520395261862</v>
      </c>
      <c r="J70" s="14">
        <f t="shared" si="67"/>
        <v>1.4974946581424107</v>
      </c>
      <c r="K70" s="7">
        <f t="shared" si="68"/>
        <v>0.51129671375068597</v>
      </c>
      <c r="L70" s="7">
        <f t="shared" si="69"/>
        <v>7.3559776881812533E-2</v>
      </c>
      <c r="M70" s="8"/>
      <c r="N70" s="8"/>
    </row>
    <row r="71" spans="1:14" x14ac:dyDescent="0.25">
      <c r="A71" s="2" t="s">
        <v>92</v>
      </c>
      <c r="B71" s="6">
        <v>0.108</v>
      </c>
      <c r="C71" s="22">
        <f t="shared" si="64"/>
        <v>9.0000000000000011E-3</v>
      </c>
      <c r="D71" s="3">
        <f t="shared" si="65"/>
        <v>8.5000000000000006E-3</v>
      </c>
      <c r="E71" s="30">
        <v>2.7000000000000001E-3</v>
      </c>
      <c r="F71" s="6">
        <v>3600</v>
      </c>
      <c r="G71" s="8">
        <v>22.8</v>
      </c>
      <c r="H71" s="3">
        <v>59</v>
      </c>
      <c r="I71" s="8">
        <f t="shared" si="66"/>
        <v>20.357520395261862</v>
      </c>
      <c r="J71" s="14">
        <f t="shared" si="67"/>
        <v>1.0108088942461273</v>
      </c>
      <c r="K71" s="7">
        <f t="shared" si="68"/>
        <v>0.53970208673683517</v>
      </c>
      <c r="L71" s="7">
        <f t="shared" si="69"/>
        <v>4.9652849395223464E-2</v>
      </c>
      <c r="M71" s="8"/>
      <c r="N71" s="8"/>
    </row>
    <row r="72" spans="1:14" x14ac:dyDescent="0.25">
      <c r="A72" s="2" t="s">
        <v>92</v>
      </c>
      <c r="B72" s="3">
        <v>0.10199999999999999</v>
      </c>
      <c r="C72" s="22">
        <f t="shared" si="64"/>
        <v>9.0000000000000011E-3</v>
      </c>
      <c r="D72" s="3">
        <f t="shared" si="65"/>
        <v>8.5000000000000006E-3</v>
      </c>
      <c r="E72" s="10">
        <v>7.6E-3</v>
      </c>
      <c r="F72" s="3">
        <v>3600</v>
      </c>
      <c r="G72" s="8">
        <v>7.9</v>
      </c>
      <c r="H72" s="3">
        <v>47</v>
      </c>
      <c r="I72" s="8">
        <f t="shared" si="66"/>
        <v>19.226547039969535</v>
      </c>
      <c r="J72" s="14">
        <f t="shared" si="67"/>
        <v>3.0381988876492994</v>
      </c>
      <c r="K72" s="7">
        <f t="shared" si="68"/>
        <v>0.2096493445655927</v>
      </c>
      <c r="L72" s="7">
        <f t="shared" si="69"/>
        <v>0.15802103629597514</v>
      </c>
      <c r="M72" s="8"/>
      <c r="N72" s="8"/>
    </row>
    <row r="73" spans="1:14" x14ac:dyDescent="0.25">
      <c r="A73" s="2" t="s">
        <v>92</v>
      </c>
      <c r="B73" s="3">
        <v>0.10199999999999999</v>
      </c>
      <c r="C73" s="22">
        <f t="shared" si="64"/>
        <v>9.0000000000000011E-3</v>
      </c>
      <c r="D73" s="3">
        <f t="shared" si="65"/>
        <v>8.5000000000000006E-3</v>
      </c>
      <c r="E73" s="10">
        <v>6.3E-3</v>
      </c>
      <c r="F73" s="3">
        <v>3600</v>
      </c>
      <c r="G73" s="8">
        <v>13</v>
      </c>
      <c r="H73" s="3">
        <v>66</v>
      </c>
      <c r="I73" s="8">
        <f t="shared" si="66"/>
        <v>19.226547039969535</v>
      </c>
      <c r="J73" s="14">
        <f t="shared" si="67"/>
        <v>2.518506972656656</v>
      </c>
      <c r="K73" s="7">
        <f t="shared" si="68"/>
        <v>0.34499259232312718</v>
      </c>
      <c r="L73" s="7">
        <f t="shared" si="69"/>
        <v>0.13099112219271625</v>
      </c>
      <c r="M73" s="8"/>
      <c r="N73" s="8"/>
    </row>
    <row r="74" spans="1:14" x14ac:dyDescent="0.25">
      <c r="A74" s="2" t="s">
        <v>92</v>
      </c>
      <c r="B74" s="3">
        <v>0.10199999999999999</v>
      </c>
      <c r="C74" s="22">
        <f t="shared" si="64"/>
        <v>9.0000000000000011E-3</v>
      </c>
      <c r="D74" s="3">
        <f t="shared" si="65"/>
        <v>8.5000000000000006E-3</v>
      </c>
      <c r="E74" s="10">
        <v>5.0000000000000001E-3</v>
      </c>
      <c r="F74" s="3">
        <v>3600</v>
      </c>
      <c r="G74" s="8">
        <v>16.3</v>
      </c>
      <c r="H74" s="3">
        <v>69</v>
      </c>
      <c r="I74" s="8">
        <f t="shared" si="66"/>
        <v>19.226547039969535</v>
      </c>
      <c r="J74" s="14">
        <f t="shared" si="67"/>
        <v>1.9988150576640129</v>
      </c>
      <c r="K74" s="7">
        <f t="shared" si="68"/>
        <v>0.43256763498976725</v>
      </c>
      <c r="L74" s="7">
        <f t="shared" si="69"/>
        <v>0.10396120808945734</v>
      </c>
      <c r="M74" s="8"/>
      <c r="N74" s="8"/>
    </row>
    <row r="75" spans="1:14" x14ac:dyDescent="0.25">
      <c r="A75" s="2" t="s">
        <v>92</v>
      </c>
      <c r="B75" s="3">
        <v>0.10199999999999999</v>
      </c>
      <c r="C75" s="22">
        <f t="shared" si="64"/>
        <v>9.0000000000000011E-3</v>
      </c>
      <c r="D75" s="3">
        <f t="shared" si="65"/>
        <v>8.5000000000000006E-3</v>
      </c>
      <c r="E75" s="10">
        <v>3.8E-3</v>
      </c>
      <c r="F75" s="3">
        <v>3600</v>
      </c>
      <c r="G75" s="8">
        <v>18</v>
      </c>
      <c r="H75" s="3">
        <v>64</v>
      </c>
      <c r="I75" s="8">
        <f t="shared" si="66"/>
        <v>19.226547039969535</v>
      </c>
      <c r="J75" s="14">
        <f t="shared" si="67"/>
        <v>1.5190994438246497</v>
      </c>
      <c r="K75" s="7">
        <f t="shared" si="68"/>
        <v>0.47768205090894539</v>
      </c>
      <c r="L75" s="7">
        <f t="shared" si="69"/>
        <v>7.9010518147987568E-2</v>
      </c>
      <c r="M75" s="8"/>
      <c r="N75" s="8"/>
    </row>
    <row r="76" spans="1:14" x14ac:dyDescent="0.25">
      <c r="A76" s="2" t="s">
        <v>92</v>
      </c>
      <c r="B76" s="3">
        <v>0.10199999999999999</v>
      </c>
      <c r="C76" s="22">
        <f t="shared" si="64"/>
        <v>9.0000000000000011E-3</v>
      </c>
      <c r="D76" s="3">
        <f t="shared" si="65"/>
        <v>8.5000000000000006E-3</v>
      </c>
      <c r="E76" s="10">
        <v>2.5000000000000001E-3</v>
      </c>
      <c r="F76" s="6">
        <v>3600</v>
      </c>
      <c r="G76" s="8">
        <v>19.2</v>
      </c>
      <c r="H76" s="3">
        <v>54</v>
      </c>
      <c r="I76" s="8">
        <f t="shared" si="66"/>
        <v>19.226547039969535</v>
      </c>
      <c r="J76" s="14">
        <f t="shared" si="67"/>
        <v>0.99940752883200645</v>
      </c>
      <c r="K76" s="7">
        <f t="shared" si="68"/>
        <v>0.50952752096954168</v>
      </c>
      <c r="L76" s="7">
        <f t="shared" si="69"/>
        <v>5.1980604044728672E-2</v>
      </c>
      <c r="M76" s="8"/>
      <c r="N76" s="8"/>
    </row>
    <row r="77" spans="1:14" x14ac:dyDescent="0.25">
      <c r="A77" s="2" t="s">
        <v>92</v>
      </c>
      <c r="B77" s="3">
        <v>9.6000000000000002E-2</v>
      </c>
      <c r="C77" s="22">
        <f t="shared" si="64"/>
        <v>9.0000000000000011E-3</v>
      </c>
      <c r="D77" s="3">
        <f t="shared" si="65"/>
        <v>8.5000000000000006E-3</v>
      </c>
      <c r="E77" s="10">
        <v>7.1000000000000004E-3</v>
      </c>
      <c r="F77" s="3">
        <v>3600</v>
      </c>
      <c r="G77" s="8">
        <v>6.65</v>
      </c>
      <c r="H77" s="3">
        <v>45</v>
      </c>
      <c r="I77" s="8">
        <f t="shared" si="66"/>
        <v>18.095573684677209</v>
      </c>
      <c r="J77" s="14">
        <f t="shared" si="67"/>
        <v>3.0448109727843837</v>
      </c>
      <c r="K77" s="7">
        <f t="shared" si="68"/>
        <v>0.19922596561183958</v>
      </c>
      <c r="L77" s="7">
        <f t="shared" si="69"/>
        <v>0.16826274899273511</v>
      </c>
      <c r="M77" s="8"/>
      <c r="N77" s="8"/>
    </row>
    <row r="78" spans="1:14" x14ac:dyDescent="0.25">
      <c r="A78" s="2" t="s">
        <v>92</v>
      </c>
      <c r="B78" s="3">
        <v>9.6000000000000002E-2</v>
      </c>
      <c r="C78" s="22">
        <f t="shared" si="64"/>
        <v>9.0000000000000011E-3</v>
      </c>
      <c r="D78" s="3">
        <f t="shared" si="65"/>
        <v>8.5000000000000006E-3</v>
      </c>
      <c r="E78" s="10">
        <v>5.8999999999999999E-3</v>
      </c>
      <c r="F78" s="3">
        <v>3600</v>
      </c>
      <c r="G78" s="8">
        <v>11</v>
      </c>
      <c r="H78" s="3">
        <v>62</v>
      </c>
      <c r="I78" s="8">
        <f t="shared" si="66"/>
        <v>18.095573684677209</v>
      </c>
      <c r="J78" s="14">
        <f t="shared" si="67"/>
        <v>2.5301950337222343</v>
      </c>
      <c r="K78" s="7">
        <f t="shared" si="68"/>
        <v>0.32954671003462188</v>
      </c>
      <c r="L78" s="7">
        <f t="shared" si="69"/>
        <v>0.13982397451508971</v>
      </c>
      <c r="M78" s="8"/>
      <c r="N78" s="8"/>
    </row>
    <row r="79" spans="1:14" x14ac:dyDescent="0.25">
      <c r="A79" s="2" t="s">
        <v>92</v>
      </c>
      <c r="B79" s="3">
        <v>9.6000000000000002E-2</v>
      </c>
      <c r="C79" s="22">
        <f t="shared" si="64"/>
        <v>9.0000000000000011E-3</v>
      </c>
      <c r="D79" s="3">
        <f t="shared" si="65"/>
        <v>8.5000000000000006E-3</v>
      </c>
      <c r="E79" s="30">
        <v>4.7000000000000002E-3</v>
      </c>
      <c r="F79" s="3">
        <v>3600</v>
      </c>
      <c r="G79" s="31">
        <v>13.9</v>
      </c>
      <c r="H79" s="6">
        <v>65</v>
      </c>
      <c r="I79" s="8">
        <f t="shared" si="66"/>
        <v>18.095573684677209</v>
      </c>
      <c r="J79" s="14">
        <f t="shared" si="67"/>
        <v>2.0155790946600849</v>
      </c>
      <c r="K79" s="7">
        <f t="shared" si="68"/>
        <v>0.41642720631647673</v>
      </c>
      <c r="L79" s="7">
        <f t="shared" si="69"/>
        <v>0.11138520003744436</v>
      </c>
      <c r="M79" s="8"/>
      <c r="N79" s="8"/>
    </row>
    <row r="80" spans="1:14" x14ac:dyDescent="0.25">
      <c r="A80" s="2" t="s">
        <v>92</v>
      </c>
      <c r="B80" s="3">
        <v>9.6000000000000002E-2</v>
      </c>
      <c r="C80" s="22">
        <f t="shared" si="64"/>
        <v>9.0000000000000011E-3</v>
      </c>
      <c r="D80" s="3">
        <f t="shared" si="65"/>
        <v>8.5000000000000006E-3</v>
      </c>
      <c r="E80" s="10">
        <v>3.5000000000000001E-3</v>
      </c>
      <c r="F80" s="3">
        <v>3600</v>
      </c>
      <c r="G80" s="31">
        <v>15.8</v>
      </c>
      <c r="H80" s="6">
        <v>60</v>
      </c>
      <c r="I80" s="8">
        <f t="shared" si="66"/>
        <v>18.095573684677209</v>
      </c>
      <c r="J80" s="14">
        <f t="shared" si="67"/>
        <v>1.5009631555979355</v>
      </c>
      <c r="K80" s="7">
        <f t="shared" si="68"/>
        <v>0.47334891077700236</v>
      </c>
      <c r="L80" s="7">
        <f t="shared" si="69"/>
        <v>8.2946425559798975E-2</v>
      </c>
      <c r="M80" s="8"/>
      <c r="N80" s="8"/>
    </row>
    <row r="81" spans="1:14" x14ac:dyDescent="0.25">
      <c r="A81" s="2" t="s">
        <v>92</v>
      </c>
      <c r="B81" s="3">
        <v>9.6000000000000002E-2</v>
      </c>
      <c r="C81" s="22">
        <f t="shared" si="64"/>
        <v>9.0000000000000011E-3</v>
      </c>
      <c r="D81" s="3">
        <f t="shared" si="65"/>
        <v>8.5000000000000006E-3</v>
      </c>
      <c r="E81" s="10">
        <v>2.3999999999999998E-3</v>
      </c>
      <c r="F81" s="3">
        <v>3600</v>
      </c>
      <c r="G81" s="8">
        <v>16.8</v>
      </c>
      <c r="H81" s="3">
        <v>52</v>
      </c>
      <c r="I81" s="8">
        <f t="shared" si="66"/>
        <v>18.095573684677209</v>
      </c>
      <c r="J81" s="14">
        <f t="shared" si="67"/>
        <v>1.0292318781242986</v>
      </c>
      <c r="K81" s="7">
        <f t="shared" si="68"/>
        <v>0.50330770259833157</v>
      </c>
      <c r="L81" s="7">
        <f t="shared" si="69"/>
        <v>5.6877548955290728E-2</v>
      </c>
      <c r="M81" s="8"/>
      <c r="N81" s="8"/>
    </row>
    <row r="82" spans="1:14" x14ac:dyDescent="0.25">
      <c r="A82" s="2" t="s">
        <v>92</v>
      </c>
      <c r="B82" s="3">
        <v>8.3000000000000004E-2</v>
      </c>
      <c r="C82" s="22">
        <f t="shared" si="64"/>
        <v>9.0000000000000011E-3</v>
      </c>
      <c r="D82" s="3">
        <f t="shared" si="65"/>
        <v>8.5000000000000006E-3</v>
      </c>
      <c r="E82" s="10">
        <v>5.8999999999999999E-3</v>
      </c>
      <c r="F82" s="3">
        <v>3600</v>
      </c>
      <c r="G82" s="8">
        <v>2.57</v>
      </c>
      <c r="H82" s="3">
        <v>24</v>
      </c>
      <c r="I82" s="8">
        <f t="shared" si="66"/>
        <v>15.64513141487717</v>
      </c>
      <c r="J82" s="14">
        <f t="shared" si="67"/>
        <v>3.0036608329602066</v>
      </c>
      <c r="K82" s="7">
        <f t="shared" si="68"/>
        <v>0.10300153568634084</v>
      </c>
      <c r="L82" s="7">
        <f t="shared" si="69"/>
        <v>0.19198693531611913</v>
      </c>
      <c r="M82" s="8"/>
      <c r="N82" s="8"/>
    </row>
    <row r="83" spans="1:14" x14ac:dyDescent="0.25">
      <c r="A83" s="2" t="s">
        <v>92</v>
      </c>
      <c r="B83" s="3">
        <v>8.3000000000000004E-2</v>
      </c>
      <c r="C83" s="22">
        <f t="shared" si="64"/>
        <v>9.0000000000000011E-3</v>
      </c>
      <c r="D83" s="3">
        <f t="shared" si="65"/>
        <v>8.5000000000000006E-3</v>
      </c>
      <c r="E83" s="10">
        <v>4.8999999999999998E-3</v>
      </c>
      <c r="F83" s="3">
        <v>3600</v>
      </c>
      <c r="G83" s="8">
        <v>5.95</v>
      </c>
      <c r="H83" s="3">
        <v>43</v>
      </c>
      <c r="I83" s="8">
        <f t="shared" si="66"/>
        <v>15.64513141487717</v>
      </c>
      <c r="J83" s="14">
        <f t="shared" si="67"/>
        <v>2.4945657765262732</v>
      </c>
      <c r="K83" s="7">
        <f t="shared" si="68"/>
        <v>0.23846659040222878</v>
      </c>
      <c r="L83" s="7">
        <f t="shared" si="69"/>
        <v>0.15944677678796335</v>
      </c>
      <c r="M83" s="8"/>
      <c r="N83" s="8"/>
    </row>
    <row r="84" spans="1:14" x14ac:dyDescent="0.25">
      <c r="A84" s="2" t="s">
        <v>92</v>
      </c>
      <c r="B84" s="3">
        <v>8.3000000000000004E-2</v>
      </c>
      <c r="C84" s="22">
        <f t="shared" si="64"/>
        <v>9.0000000000000011E-3</v>
      </c>
      <c r="D84" s="3">
        <f t="shared" si="65"/>
        <v>8.5000000000000006E-3</v>
      </c>
      <c r="E84" s="10">
        <v>3.8999999999999998E-3</v>
      </c>
      <c r="F84" s="3">
        <v>3600</v>
      </c>
      <c r="G84" s="8">
        <v>8.41</v>
      </c>
      <c r="H84" s="3">
        <v>53</v>
      </c>
      <c r="I84" s="8">
        <f t="shared" si="66"/>
        <v>15.64513141487717</v>
      </c>
      <c r="J84" s="14">
        <f t="shared" si="67"/>
        <v>1.98547072009234</v>
      </c>
      <c r="K84" s="7">
        <f t="shared" si="68"/>
        <v>0.33705950004752</v>
      </c>
      <c r="L84" s="7">
        <f t="shared" si="69"/>
        <v>0.12690661825980756</v>
      </c>
      <c r="M84" s="8"/>
      <c r="N84" s="8"/>
    </row>
    <row r="85" spans="1:14" x14ac:dyDescent="0.25">
      <c r="A85" s="2" t="s">
        <v>92</v>
      </c>
      <c r="B85" s="3">
        <v>8.3000000000000004E-2</v>
      </c>
      <c r="C85" s="22">
        <f t="shared" si="64"/>
        <v>9.0000000000000011E-3</v>
      </c>
      <c r="D85" s="3">
        <f t="shared" si="65"/>
        <v>8.5000000000000006E-3</v>
      </c>
      <c r="E85" s="10">
        <v>2.8999999999999998E-3</v>
      </c>
      <c r="F85" s="3">
        <v>3600</v>
      </c>
      <c r="G85" s="8">
        <v>9.91</v>
      </c>
      <c r="H85" s="3">
        <v>51</v>
      </c>
      <c r="I85" s="8">
        <f t="shared" si="66"/>
        <v>15.64513141487717</v>
      </c>
      <c r="J85" s="14">
        <f t="shared" si="67"/>
        <v>1.4763756636584067</v>
      </c>
      <c r="K85" s="7">
        <f t="shared" si="68"/>
        <v>0.39717712788001464</v>
      </c>
      <c r="L85" s="7">
        <f t="shared" si="69"/>
        <v>9.4366459731651781E-2</v>
      </c>
      <c r="M85" s="8"/>
      <c r="N85" s="8"/>
    </row>
    <row r="86" spans="1:14" x14ac:dyDescent="0.25">
      <c r="A86" s="2" t="s">
        <v>92</v>
      </c>
      <c r="B86" s="3">
        <v>8.3000000000000004E-2</v>
      </c>
      <c r="C86" s="22">
        <f t="shared" si="64"/>
        <v>9.0000000000000011E-3</v>
      </c>
      <c r="D86" s="3">
        <f t="shared" si="65"/>
        <v>8.5000000000000006E-3</v>
      </c>
      <c r="E86" s="10">
        <v>2E-3</v>
      </c>
      <c r="F86" s="3">
        <v>3600</v>
      </c>
      <c r="G86" s="8">
        <v>10.5</v>
      </c>
      <c r="H86" s="3">
        <v>38</v>
      </c>
      <c r="I86" s="8">
        <f t="shared" si="66"/>
        <v>15.64513141487717</v>
      </c>
      <c r="J86" s="14">
        <f t="shared" si="67"/>
        <v>1.0181901128678668</v>
      </c>
      <c r="K86" s="7">
        <f t="shared" si="68"/>
        <v>0.42082339482746262</v>
      </c>
      <c r="L86" s="7">
        <f t="shared" si="69"/>
        <v>6.5080317056311579E-2</v>
      </c>
    </row>
    <row r="87" spans="1:14" x14ac:dyDescent="0.25">
      <c r="A87" s="2" t="s">
        <v>91</v>
      </c>
      <c r="B87" s="3">
        <v>0.108</v>
      </c>
      <c r="C87" s="22">
        <f>$B$8*B87/$B$7</f>
        <v>9.0000000000000011E-3</v>
      </c>
      <c r="D87" s="3">
        <f>$B$9*B87/$B$7</f>
        <v>8.5000000000000006E-3</v>
      </c>
      <c r="E87" s="10">
        <v>8.0000000000000002E-3</v>
      </c>
      <c r="F87" s="3">
        <v>3600</v>
      </c>
      <c r="G87" s="8">
        <v>10.3</v>
      </c>
      <c r="H87" s="3">
        <v>52</v>
      </c>
      <c r="I87" s="8">
        <f t="shared" si="66"/>
        <v>20.357520395261862</v>
      </c>
      <c r="J87" s="14">
        <f t="shared" si="67"/>
        <v>2.9949893162848213</v>
      </c>
      <c r="K87" s="7">
        <f t="shared" si="68"/>
        <v>0.24381278479778079</v>
      </c>
      <c r="L87" s="7">
        <f t="shared" si="69"/>
        <v>0.14711955376362507</v>
      </c>
    </row>
    <row r="88" spans="1:14" x14ac:dyDescent="0.25">
      <c r="A88" s="2" t="s">
        <v>91</v>
      </c>
      <c r="B88" s="3">
        <v>0.108</v>
      </c>
      <c r="C88" s="22">
        <f t="shared" ref="C88:C106" si="70">$B$8*B88/$B$7</f>
        <v>9.0000000000000011E-3</v>
      </c>
      <c r="D88" s="3">
        <f t="shared" ref="D88:D91" si="71">$B$9*B88/$B$7</f>
        <v>8.5000000000000006E-3</v>
      </c>
      <c r="E88" s="10">
        <v>6.7000000000000002E-3</v>
      </c>
      <c r="F88" s="3">
        <v>3600</v>
      </c>
      <c r="G88" s="8">
        <v>16.100000000000001</v>
      </c>
      <c r="H88" s="3">
        <v>71</v>
      </c>
      <c r="I88" s="8">
        <f t="shared" si="66"/>
        <v>20.357520395261862</v>
      </c>
      <c r="J88" s="14">
        <f t="shared" si="67"/>
        <v>2.5083035523885377</v>
      </c>
      <c r="K88" s="7">
        <f t="shared" si="68"/>
        <v>0.38110542089750205</v>
      </c>
      <c r="L88" s="7">
        <f t="shared" si="69"/>
        <v>0.123212626277036</v>
      </c>
    </row>
    <row r="89" spans="1:14" x14ac:dyDescent="0.25">
      <c r="A89" s="2" t="s">
        <v>91</v>
      </c>
      <c r="B89" s="3">
        <v>0.108</v>
      </c>
      <c r="C89" s="22">
        <f t="shared" si="70"/>
        <v>9.0000000000000011E-3</v>
      </c>
      <c r="D89" s="3">
        <f t="shared" si="71"/>
        <v>8.5000000000000006E-3</v>
      </c>
      <c r="E89" s="10">
        <v>5.4000000000000003E-3</v>
      </c>
      <c r="F89" s="3">
        <v>3600</v>
      </c>
      <c r="G89" s="8">
        <v>19.399999999999999</v>
      </c>
      <c r="H89" s="3">
        <v>73</v>
      </c>
      <c r="I89" s="8">
        <f t="shared" si="66"/>
        <v>20.357520395261862</v>
      </c>
      <c r="J89" s="14">
        <f t="shared" si="67"/>
        <v>2.0216177884922546</v>
      </c>
      <c r="K89" s="7">
        <f t="shared" si="68"/>
        <v>0.45922019660941232</v>
      </c>
      <c r="L89" s="7">
        <f t="shared" si="69"/>
        <v>9.9305698790446928E-2</v>
      </c>
    </row>
    <row r="90" spans="1:14" x14ac:dyDescent="0.25">
      <c r="A90" s="2" t="s">
        <v>91</v>
      </c>
      <c r="B90" s="3">
        <v>0.108</v>
      </c>
      <c r="C90" s="22">
        <f t="shared" si="70"/>
        <v>9.0000000000000011E-3</v>
      </c>
      <c r="D90" s="3">
        <f t="shared" si="71"/>
        <v>8.5000000000000006E-3</v>
      </c>
      <c r="E90" s="30">
        <v>4.0000000000000001E-3</v>
      </c>
      <c r="F90" s="3">
        <v>3600</v>
      </c>
      <c r="G90" s="31">
        <v>21.6</v>
      </c>
      <c r="H90" s="6">
        <v>69</v>
      </c>
      <c r="I90" s="8">
        <f>B90/2*F90*2*PI()/60</f>
        <v>20.357520395261862</v>
      </c>
      <c r="J90" s="14">
        <f t="shared" si="67"/>
        <v>1.4974946581424107</v>
      </c>
      <c r="K90" s="7">
        <f t="shared" si="68"/>
        <v>0.51129671375068597</v>
      </c>
      <c r="L90" s="7">
        <f t="shared" si="69"/>
        <v>7.3559776881812533E-2</v>
      </c>
    </row>
    <row r="91" spans="1:14" x14ac:dyDescent="0.25">
      <c r="A91" s="2" t="s">
        <v>91</v>
      </c>
      <c r="B91" s="6">
        <v>0.108</v>
      </c>
      <c r="C91" s="22">
        <f t="shared" si="70"/>
        <v>9.0000000000000011E-3</v>
      </c>
      <c r="D91" s="3">
        <f t="shared" si="71"/>
        <v>8.5000000000000006E-3</v>
      </c>
      <c r="E91" s="30">
        <v>2.7000000000000001E-3</v>
      </c>
      <c r="F91" s="6">
        <v>3600</v>
      </c>
      <c r="G91" s="8">
        <v>22.8</v>
      </c>
      <c r="H91" s="3">
        <v>59</v>
      </c>
      <c r="I91" s="8">
        <f t="shared" si="66"/>
        <v>20.357520395261862</v>
      </c>
      <c r="J91" s="14">
        <f t="shared" si="67"/>
        <v>1.0108088942461273</v>
      </c>
      <c r="K91" s="7">
        <f t="shared" si="68"/>
        <v>0.53970208673683517</v>
      </c>
      <c r="L91" s="7">
        <f t="shared" si="69"/>
        <v>4.9652849395223464E-2</v>
      </c>
    </row>
    <row r="92" spans="1:14" x14ac:dyDescent="0.25">
      <c r="A92" s="2" t="s">
        <v>91</v>
      </c>
      <c r="B92" s="3">
        <v>0.10199999999999999</v>
      </c>
      <c r="C92" s="22">
        <f t="shared" si="70"/>
        <v>8.5000000000000006E-3</v>
      </c>
      <c r="D92" s="3">
        <f t="shared" ref="D92:D106" si="72">$B$9*B92/$B$7</f>
        <v>8.0277777777777778E-3</v>
      </c>
      <c r="E92" s="10">
        <v>7.6E-3</v>
      </c>
      <c r="F92" s="3">
        <v>3600</v>
      </c>
      <c r="G92" s="8">
        <v>7.9</v>
      </c>
      <c r="H92" s="3">
        <v>47</v>
      </c>
      <c r="I92" s="8">
        <f t="shared" si="66"/>
        <v>19.226547039969535</v>
      </c>
      <c r="J92" s="14">
        <f t="shared" si="67"/>
        <v>3.1898190711158065</v>
      </c>
      <c r="K92" s="7">
        <f t="shared" si="68"/>
        <v>0.2096493445655927</v>
      </c>
      <c r="L92" s="7">
        <f t="shared" si="69"/>
        <v>0.16590701723427406</v>
      </c>
    </row>
    <row r="93" spans="1:14" x14ac:dyDescent="0.25">
      <c r="A93" s="2" t="s">
        <v>91</v>
      </c>
      <c r="B93" s="3">
        <v>0.10199999999999999</v>
      </c>
      <c r="C93" s="22">
        <f t="shared" si="70"/>
        <v>8.5000000000000006E-3</v>
      </c>
      <c r="D93" s="3">
        <f t="shared" si="72"/>
        <v>8.0277777777777778E-3</v>
      </c>
      <c r="E93" s="10">
        <v>6.3E-3</v>
      </c>
      <c r="F93" s="3">
        <v>3600</v>
      </c>
      <c r="G93" s="8">
        <v>13</v>
      </c>
      <c r="H93" s="3">
        <v>66</v>
      </c>
      <c r="I93" s="8">
        <f t="shared" si="66"/>
        <v>19.226547039969535</v>
      </c>
      <c r="J93" s="14">
        <f t="shared" si="67"/>
        <v>2.6441921247407345</v>
      </c>
      <c r="K93" s="7">
        <f t="shared" si="68"/>
        <v>0.34499259232312718</v>
      </c>
      <c r="L93" s="7">
        <f t="shared" si="69"/>
        <v>0.13752818533893771</v>
      </c>
    </row>
    <row r="94" spans="1:14" x14ac:dyDescent="0.25">
      <c r="A94" s="2" t="s">
        <v>91</v>
      </c>
      <c r="B94" s="3">
        <v>0.10199999999999999</v>
      </c>
      <c r="C94" s="22">
        <f t="shared" si="70"/>
        <v>8.5000000000000006E-3</v>
      </c>
      <c r="D94" s="3">
        <f t="shared" si="72"/>
        <v>8.0277777777777778E-3</v>
      </c>
      <c r="E94" s="10">
        <v>5.0000000000000001E-3</v>
      </c>
      <c r="F94" s="3">
        <v>3600</v>
      </c>
      <c r="G94" s="8">
        <v>16.3</v>
      </c>
      <c r="H94" s="3">
        <v>69</v>
      </c>
      <c r="I94" s="8">
        <f t="shared" si="66"/>
        <v>19.226547039969535</v>
      </c>
      <c r="J94" s="14">
        <f t="shared" si="67"/>
        <v>2.0985651783656625</v>
      </c>
      <c r="K94" s="7">
        <f t="shared" si="68"/>
        <v>0.43256763498976725</v>
      </c>
      <c r="L94" s="7">
        <f t="shared" si="69"/>
        <v>0.10914935344360137</v>
      </c>
    </row>
    <row r="95" spans="1:14" x14ac:dyDescent="0.25">
      <c r="A95" s="2" t="s">
        <v>91</v>
      </c>
      <c r="B95" s="3">
        <v>0.10199999999999999</v>
      </c>
      <c r="C95" s="22">
        <f t="shared" si="70"/>
        <v>8.5000000000000006E-3</v>
      </c>
      <c r="D95" s="3">
        <f t="shared" si="72"/>
        <v>8.0277777777777778E-3</v>
      </c>
      <c r="E95" s="10">
        <v>3.8E-3</v>
      </c>
      <c r="F95" s="3">
        <v>3600</v>
      </c>
      <c r="G95" s="8">
        <v>18</v>
      </c>
      <c r="H95" s="3">
        <v>64</v>
      </c>
      <c r="I95" s="8">
        <f t="shared" si="66"/>
        <v>19.226547039969535</v>
      </c>
      <c r="J95" s="14">
        <f t="shared" si="67"/>
        <v>1.5949095355579033</v>
      </c>
      <c r="K95" s="7">
        <f t="shared" si="68"/>
        <v>0.47768205090894539</v>
      </c>
      <c r="L95" s="7">
        <f t="shared" si="69"/>
        <v>8.2953508617137031E-2</v>
      </c>
    </row>
    <row r="96" spans="1:14" x14ac:dyDescent="0.25">
      <c r="A96" s="2" t="s">
        <v>91</v>
      </c>
      <c r="B96" s="3">
        <v>0.10199999999999999</v>
      </c>
      <c r="C96" s="22">
        <f t="shared" si="70"/>
        <v>8.5000000000000006E-3</v>
      </c>
      <c r="D96" s="3">
        <f t="shared" si="72"/>
        <v>8.0277777777777778E-3</v>
      </c>
      <c r="E96" s="10">
        <v>2.5000000000000001E-3</v>
      </c>
      <c r="F96" s="6">
        <v>3600</v>
      </c>
      <c r="G96" s="8">
        <v>19.2</v>
      </c>
      <c r="H96" s="3">
        <v>54</v>
      </c>
      <c r="I96" s="8">
        <f t="shared" si="66"/>
        <v>19.226547039969535</v>
      </c>
      <c r="J96" s="14">
        <f t="shared" si="67"/>
        <v>1.0492825891828312</v>
      </c>
      <c r="K96" s="7">
        <f t="shared" si="68"/>
        <v>0.50952752096954168</v>
      </c>
      <c r="L96" s="7">
        <f t="shared" si="69"/>
        <v>5.4574676721800684E-2</v>
      </c>
    </row>
    <row r="97" spans="1:12" x14ac:dyDescent="0.25">
      <c r="A97" s="2" t="s">
        <v>91</v>
      </c>
      <c r="B97" s="3">
        <v>9.6000000000000002E-2</v>
      </c>
      <c r="C97" s="22">
        <f t="shared" si="70"/>
        <v>8.0000000000000002E-3</v>
      </c>
      <c r="D97" s="3">
        <f t="shared" si="72"/>
        <v>7.5555555555555567E-3</v>
      </c>
      <c r="E97" s="10">
        <v>7.1000000000000004E-3</v>
      </c>
      <c r="F97" s="3">
        <v>3600</v>
      </c>
      <c r="G97" s="8">
        <v>6.65</v>
      </c>
      <c r="H97" s="3">
        <v>45</v>
      </c>
      <c r="I97" s="8">
        <f t="shared" si="66"/>
        <v>18.095573684677209</v>
      </c>
      <c r="J97" s="14">
        <f t="shared" si="67"/>
        <v>3.3640983511628928</v>
      </c>
      <c r="K97" s="7">
        <f t="shared" si="68"/>
        <v>0.19922596561183958</v>
      </c>
      <c r="L97" s="7">
        <f t="shared" si="69"/>
        <v>0.18590725056766289</v>
      </c>
    </row>
    <row r="98" spans="1:12" x14ac:dyDescent="0.25">
      <c r="A98" s="2" t="s">
        <v>91</v>
      </c>
      <c r="B98" s="3">
        <v>9.6000000000000002E-2</v>
      </c>
      <c r="C98" s="22">
        <f t="shared" si="70"/>
        <v>8.0000000000000002E-3</v>
      </c>
      <c r="D98" s="3">
        <f t="shared" si="72"/>
        <v>7.5555555555555567E-3</v>
      </c>
      <c r="E98" s="10">
        <v>5.8999999999999999E-3</v>
      </c>
      <c r="F98" s="3">
        <v>3600</v>
      </c>
      <c r="G98" s="8">
        <v>11</v>
      </c>
      <c r="H98" s="3">
        <v>62</v>
      </c>
      <c r="I98" s="8">
        <f t="shared" si="66"/>
        <v>18.095573684677209</v>
      </c>
      <c r="J98" s="14">
        <f t="shared" si="67"/>
        <v>2.7955183481494461</v>
      </c>
      <c r="K98" s="7">
        <f t="shared" si="68"/>
        <v>0.32954671003462188</v>
      </c>
      <c r="L98" s="7">
        <f t="shared" si="69"/>
        <v>0.15448630680974804</v>
      </c>
    </row>
    <row r="99" spans="1:12" x14ac:dyDescent="0.25">
      <c r="A99" s="2" t="s">
        <v>91</v>
      </c>
      <c r="B99" s="3">
        <v>9.6000000000000002E-2</v>
      </c>
      <c r="C99" s="22">
        <f t="shared" si="70"/>
        <v>8.0000000000000002E-3</v>
      </c>
      <c r="D99" s="3">
        <f t="shared" si="72"/>
        <v>7.5555555555555567E-3</v>
      </c>
      <c r="E99" s="30">
        <v>4.7000000000000002E-3</v>
      </c>
      <c r="F99" s="3">
        <v>3600</v>
      </c>
      <c r="G99" s="31">
        <v>13.9</v>
      </c>
      <c r="H99" s="6">
        <v>65</v>
      </c>
      <c r="I99" s="8">
        <f t="shared" si="66"/>
        <v>18.095573684677209</v>
      </c>
      <c r="J99" s="14">
        <f t="shared" si="67"/>
        <v>2.2269383451359994</v>
      </c>
      <c r="K99" s="7">
        <f t="shared" si="68"/>
        <v>0.41642720631647673</v>
      </c>
      <c r="L99" s="7">
        <f t="shared" si="69"/>
        <v>0.12306536305183319</v>
      </c>
    </row>
    <row r="100" spans="1:12" x14ac:dyDescent="0.25">
      <c r="A100" s="2" t="s">
        <v>91</v>
      </c>
      <c r="B100" s="3">
        <v>9.6000000000000002E-2</v>
      </c>
      <c r="C100" s="22">
        <f t="shared" si="70"/>
        <v>8.0000000000000002E-3</v>
      </c>
      <c r="D100" s="3">
        <f t="shared" si="72"/>
        <v>7.5555555555555567E-3</v>
      </c>
      <c r="E100" s="10">
        <v>3.5000000000000001E-3</v>
      </c>
      <c r="F100" s="3">
        <v>3600</v>
      </c>
      <c r="G100" s="31">
        <v>15.8</v>
      </c>
      <c r="H100" s="6">
        <v>60</v>
      </c>
      <c r="I100" s="8">
        <f t="shared" si="66"/>
        <v>18.095573684677209</v>
      </c>
      <c r="J100" s="14">
        <f t="shared" si="67"/>
        <v>1.6583583421225527</v>
      </c>
      <c r="K100" s="7">
        <f t="shared" si="68"/>
        <v>0.47334891077700236</v>
      </c>
      <c r="L100" s="7">
        <f t="shared" si="69"/>
        <v>9.1644419293918325E-2</v>
      </c>
    </row>
    <row r="101" spans="1:12" x14ac:dyDescent="0.25">
      <c r="A101" s="2" t="s">
        <v>91</v>
      </c>
      <c r="B101" s="3">
        <v>9.6000000000000002E-2</v>
      </c>
      <c r="C101" s="22">
        <f t="shared" si="70"/>
        <v>8.0000000000000002E-3</v>
      </c>
      <c r="D101" s="3">
        <f t="shared" si="72"/>
        <v>7.5555555555555567E-3</v>
      </c>
      <c r="E101" s="10">
        <v>2.3999999999999998E-3</v>
      </c>
      <c r="F101" s="3">
        <v>3600</v>
      </c>
      <c r="G101" s="8">
        <v>16.8</v>
      </c>
      <c r="H101" s="3">
        <v>52</v>
      </c>
      <c r="I101" s="8">
        <f t="shared" si="66"/>
        <v>18.095573684677209</v>
      </c>
      <c r="J101" s="14">
        <f t="shared" si="67"/>
        <v>1.1371600060268932</v>
      </c>
      <c r="K101" s="7">
        <f t="shared" si="68"/>
        <v>0.50330770259833157</v>
      </c>
      <c r="L101" s="7">
        <f t="shared" si="69"/>
        <v>6.2841887515829697E-2</v>
      </c>
    </row>
    <row r="102" spans="1:12" x14ac:dyDescent="0.25">
      <c r="A102" s="2" t="s">
        <v>91</v>
      </c>
      <c r="B102" s="3">
        <v>8.3000000000000004E-2</v>
      </c>
      <c r="C102" s="22">
        <f t="shared" si="70"/>
        <v>6.9166666666666682E-3</v>
      </c>
      <c r="D102" s="3">
        <f t="shared" si="72"/>
        <v>6.5324074074074078E-3</v>
      </c>
      <c r="E102" s="10">
        <v>5.8999999999999999E-3</v>
      </c>
      <c r="F102" s="3">
        <v>3600</v>
      </c>
      <c r="G102" s="8">
        <v>2.57</v>
      </c>
      <c r="H102" s="3">
        <v>24</v>
      </c>
      <c r="I102" s="8">
        <f t="shared" si="66"/>
        <v>15.64513141487717</v>
      </c>
      <c r="J102" s="14">
        <f t="shared" si="67"/>
        <v>3.7398021623668587</v>
      </c>
      <c r="K102" s="7">
        <f t="shared" si="68"/>
        <v>0.10300153568634084</v>
      </c>
      <c r="L102" s="7">
        <f t="shared" si="69"/>
        <v>0.23903935756082109</v>
      </c>
    </row>
    <row r="103" spans="1:12" x14ac:dyDescent="0.25">
      <c r="A103" s="2" t="s">
        <v>91</v>
      </c>
      <c r="B103" s="3">
        <v>8.3000000000000004E-2</v>
      </c>
      <c r="C103" s="22">
        <f t="shared" si="70"/>
        <v>6.9166666666666682E-3</v>
      </c>
      <c r="D103" s="3">
        <f t="shared" si="72"/>
        <v>6.5324074074074078E-3</v>
      </c>
      <c r="E103" s="10">
        <v>4.8999999999999998E-3</v>
      </c>
      <c r="F103" s="3">
        <v>3600</v>
      </c>
      <c r="G103" s="8">
        <v>5.95</v>
      </c>
      <c r="H103" s="3">
        <v>43</v>
      </c>
      <c r="I103" s="8">
        <f t="shared" si="66"/>
        <v>15.64513141487717</v>
      </c>
      <c r="J103" s="14">
        <f t="shared" si="67"/>
        <v>3.1059373890843402</v>
      </c>
      <c r="K103" s="7">
        <f t="shared" si="68"/>
        <v>0.23846659040222878</v>
      </c>
      <c r="L103" s="7">
        <f t="shared" si="69"/>
        <v>0.19852421221152938</v>
      </c>
    </row>
    <row r="104" spans="1:12" x14ac:dyDescent="0.25">
      <c r="A104" s="2" t="s">
        <v>91</v>
      </c>
      <c r="B104" s="3">
        <v>8.3000000000000004E-2</v>
      </c>
      <c r="C104" s="22">
        <f t="shared" si="70"/>
        <v>6.9166666666666682E-3</v>
      </c>
      <c r="D104" s="3">
        <f t="shared" si="72"/>
        <v>6.5324074074074078E-3</v>
      </c>
      <c r="E104" s="10">
        <v>3.8999999999999998E-3</v>
      </c>
      <c r="F104" s="3">
        <v>3600</v>
      </c>
      <c r="G104" s="8">
        <v>8.41</v>
      </c>
      <c r="H104" s="3">
        <v>53</v>
      </c>
      <c r="I104" s="8">
        <f t="shared" si="66"/>
        <v>15.64513141487717</v>
      </c>
      <c r="J104" s="14">
        <f t="shared" si="67"/>
        <v>2.4720726158018218</v>
      </c>
      <c r="K104" s="7">
        <f t="shared" si="68"/>
        <v>0.33705950004752</v>
      </c>
      <c r="L104" s="7">
        <f t="shared" si="69"/>
        <v>0.15800906686223767</v>
      </c>
    </row>
    <row r="105" spans="1:12" x14ac:dyDescent="0.25">
      <c r="A105" s="2" t="s">
        <v>91</v>
      </c>
      <c r="B105" s="3">
        <v>8.3000000000000004E-2</v>
      </c>
      <c r="C105" s="22">
        <f t="shared" si="70"/>
        <v>6.9166666666666682E-3</v>
      </c>
      <c r="D105" s="3">
        <f t="shared" si="72"/>
        <v>6.5324074074074078E-3</v>
      </c>
      <c r="E105" s="10">
        <v>2.8999999999999998E-3</v>
      </c>
      <c r="F105" s="3">
        <v>3600</v>
      </c>
      <c r="G105" s="8">
        <v>9.91</v>
      </c>
      <c r="H105" s="3">
        <v>51</v>
      </c>
      <c r="I105" s="8">
        <f t="shared" si="66"/>
        <v>15.64513141487717</v>
      </c>
      <c r="J105" s="14">
        <f t="shared" si="67"/>
        <v>1.8382078425193034</v>
      </c>
      <c r="K105" s="7">
        <f t="shared" si="68"/>
        <v>0.39717712788001464</v>
      </c>
      <c r="L105" s="7">
        <f t="shared" si="69"/>
        <v>0.11749392151294595</v>
      </c>
    </row>
    <row r="106" spans="1:12" x14ac:dyDescent="0.25">
      <c r="A106" s="2" t="s">
        <v>91</v>
      </c>
      <c r="B106" s="3">
        <v>8.3000000000000004E-2</v>
      </c>
      <c r="C106" s="22">
        <f t="shared" si="70"/>
        <v>6.9166666666666682E-3</v>
      </c>
      <c r="D106" s="3">
        <f t="shared" si="72"/>
        <v>6.5324074074074078E-3</v>
      </c>
      <c r="E106" s="10">
        <v>2E-3</v>
      </c>
      <c r="F106" s="3">
        <v>3600</v>
      </c>
      <c r="G106" s="8">
        <v>10.5</v>
      </c>
      <c r="H106" s="3">
        <v>38</v>
      </c>
      <c r="I106" s="8">
        <f t="shared" si="66"/>
        <v>15.64513141487717</v>
      </c>
      <c r="J106" s="14">
        <f t="shared" si="67"/>
        <v>1.2677295465650369</v>
      </c>
      <c r="K106" s="7">
        <f t="shared" si="68"/>
        <v>0.42082339482746262</v>
      </c>
      <c r="L106" s="7">
        <f t="shared" si="69"/>
        <v>8.1030290698583418E-2</v>
      </c>
    </row>
  </sheetData>
  <mergeCells count="10">
    <mergeCell ref="G14:I14"/>
    <mergeCell ref="C54:E54"/>
    <mergeCell ref="F54:H54"/>
    <mergeCell ref="AD13:AE13"/>
    <mergeCell ref="AF13:AG13"/>
    <mergeCell ref="D13:E13"/>
    <mergeCell ref="L13:M13"/>
    <mergeCell ref="Z13:AA13"/>
    <mergeCell ref="AB13:AC13"/>
    <mergeCell ref="G13:I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seans analysis</vt:lpstr>
      <vt:lpstr>alex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Diep</cp:lastModifiedBy>
  <dcterms:created xsi:type="dcterms:W3CDTF">2023-10-02T07:24:47Z</dcterms:created>
  <dcterms:modified xsi:type="dcterms:W3CDTF">2024-02-24T11:29:19Z</dcterms:modified>
</cp:coreProperties>
</file>