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115D5D27-62AF-46D7-81A6-C15D20CD9B8B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eans analysis" sheetId="6" state="hidden" r:id="rId1"/>
    <sheet name="analysis" sheetId="7" r:id="rId2"/>
    <sheet name="plotting" sheetId="8" r:id="rId3"/>
  </sheets>
  <definedNames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7" l="1"/>
  <c r="J64" i="7" s="1"/>
  <c r="H36" i="7"/>
  <c r="I36" i="7" s="1"/>
  <c r="J89" i="7"/>
  <c r="L20" i="7"/>
  <c r="H37" i="7"/>
  <c r="H38" i="7"/>
  <c r="H39" i="7"/>
  <c r="H40" i="7"/>
  <c r="H41" i="7"/>
  <c r="H26" i="7" a="1"/>
  <c r="H26" i="7" s="1"/>
  <c r="H32" i="7" s="1"/>
  <c r="K58" i="7" a="1"/>
  <c r="K58" i="7" s="1"/>
  <c r="H33" i="7"/>
  <c r="J86" i="7"/>
  <c r="J87" i="7" s="1"/>
  <c r="J85" i="7"/>
  <c r="J84" i="7"/>
  <c r="L18" i="7"/>
  <c r="E57" i="7" l="1"/>
  <c r="D54" i="7" l="1"/>
  <c r="D4" i="7"/>
  <c r="D8" i="7"/>
  <c r="D7" i="7"/>
  <c r="E2" i="7" l="1"/>
  <c r="B9" i="7"/>
  <c r="D45" i="7" s="1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B11" i="7"/>
  <c r="D47" i="7" s="1"/>
  <c r="B10" i="7"/>
  <c r="D46" i="7" s="1"/>
  <c r="C45" i="7"/>
  <c r="C46" i="7"/>
  <c r="C37" i="7"/>
  <c r="C38" i="7"/>
  <c r="C39" i="7"/>
  <c r="C40" i="7"/>
  <c r="C41" i="7"/>
  <c r="C36" i="7"/>
  <c r="F37" i="7"/>
  <c r="F38" i="7"/>
  <c r="F39" i="7"/>
  <c r="F40" i="7"/>
  <c r="F41" i="7"/>
  <c r="F36" i="7"/>
  <c r="B47" i="7" l="1"/>
  <c r="C47" i="7" s="1"/>
  <c r="D20" i="7"/>
  <c r="D21" i="7"/>
  <c r="D22" i="7"/>
  <c r="D23" i="7"/>
  <c r="D24" i="7"/>
  <c r="D25" i="7"/>
  <c r="D26" i="7"/>
  <c r="D27" i="7"/>
  <c r="D19" i="7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H18" i="7" l="1" a="1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H18" i="7" l="1"/>
  <c r="H24" i="7" s="1"/>
  <c r="L19" i="7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G36" i="7" l="1"/>
  <c r="E45" i="7"/>
  <c r="F45" i="7" s="1"/>
  <c r="H34" i="7"/>
  <c r="B50" i="7"/>
  <c r="F65" i="7"/>
  <c r="F73" i="7"/>
  <c r="F57" i="7"/>
  <c r="F71" i="7"/>
  <c r="F58" i="7"/>
  <c r="F66" i="7"/>
  <c r="F74" i="7"/>
  <c r="F72" i="7"/>
  <c r="F59" i="7"/>
  <c r="F67" i="7"/>
  <c r="F75" i="7"/>
  <c r="F64" i="7"/>
  <c r="F60" i="7"/>
  <c r="F68" i="7"/>
  <c r="F76" i="7"/>
  <c r="F79" i="7"/>
  <c r="F61" i="7"/>
  <c r="F69" i="7"/>
  <c r="F77" i="7"/>
  <c r="F62" i="7"/>
  <c r="F70" i="7"/>
  <c r="F78" i="7"/>
  <c r="F63" i="7"/>
  <c r="F80" i="7"/>
  <c r="E46" i="7"/>
  <c r="F46" i="7" s="1"/>
  <c r="E47" i="7"/>
  <c r="F47" i="7" s="1"/>
  <c r="G40" i="7"/>
  <c r="G38" i="7"/>
  <c r="G39" i="7"/>
  <c r="I39" i="7" s="1"/>
  <c r="G41" i="7"/>
  <c r="G37" i="7"/>
  <c r="I37" i="7" s="1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L73" i="7" l="1" a="1"/>
  <c r="L73" i="7" s="1"/>
  <c r="L66" i="7" a="1"/>
  <c r="L66" i="7" s="1"/>
  <c r="I41" i="7"/>
  <c r="I38" i="7"/>
  <c r="I58" i="7" a="1"/>
  <c r="I58" i="7" s="1"/>
  <c r="I40" i="7"/>
  <c r="K36" i="7" a="1"/>
  <c r="K36" i="7" s="1"/>
  <c r="L41" i="7" s="1"/>
  <c r="J73" i="7" s="1"/>
  <c r="J72" i="7" l="1"/>
  <c r="J74" i="7" s="1"/>
  <c r="L79" i="7"/>
  <c r="J68" i="7"/>
  <c r="J69" i="7" s="1"/>
  <c r="J65" i="7"/>
  <c r="J7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<sst xmlns="http://schemas.openxmlformats.org/spreadsheetml/2006/main" count="414" uniqueCount="210">
  <si>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</si>
  <si>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</si>
  <si>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</si>
  <si>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</si>
  <si>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</si>
  <si>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</si>
  <si>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</si>
  <si>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</si>
  <si>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</si>
  <si>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</si>
  <si>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</si>
  <si>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</si>
  <si>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</si>
  <si>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</si>
  <si>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</si>
  <si>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</si>
  <si>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</si>
  <si>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</si>
  <si>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</si>
  <si>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</si>
  <si>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</si>
  <si>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</si>
  <si>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</si>
  <si>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</si>
  <si>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</si>
  <si>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</si>
  <si>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</si>
  <si>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</si>
  <si>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</si>
  <si>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</si>
  <si>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</si>
  <si>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</si>
  <si>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</si>
  <si>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</si>
  <si>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</si>
  <si>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</si>
  <si>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</si>
  <si>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</si>
  <si>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</si>
  <si>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</si>
  <si>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</si>
  <si>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</si>
  <si>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</si>
  <si>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</si>
  <si>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</si>
  <si>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</si>
  <si>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</si>
  <si>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</si>
  <si>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</si>
  <si>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</si>
  <si>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</si>
  <si>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</si>
  <si>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</si>
  <si>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</si>
  <si>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</si>
  <si>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</si>
  <si>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</si>
  <si>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</si>
  <si>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</si>
  <si>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</si>
  <si>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</si>
  <si>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</si>
  <si>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</si>
  <si>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</si>
  <si>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</si>
  <si>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</si>
  <si>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</si>
  <si>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</si>
  <si>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</si>
  <si>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</si>
  <si>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</si>
  <si>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</si>
  <si>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</si>
  <si>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</si>
  <si>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</si>
  <si>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</si>
  <si>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</si>
  <si>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</si>
  <si>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</si>
  <si>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</si>
  <si>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</si>
  <si>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</si>
  <si>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</si>
  <si>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</si>
  <si>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</si>
  <si>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</si>
  <si>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</si>
  <si>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</si>
  <si>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</si>
  <si>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</si>
  <si>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Bolt</t>
  </si>
  <si>
    <t>Washer</t>
  </si>
  <si>
    <t>Repeatability at 50 lb-in torque (no external load)</t>
  </si>
  <si>
    <t>Trial 4</t>
  </si>
  <si>
    <t>Trial 5</t>
  </si>
  <si>
    <t>No Gasket</t>
  </si>
  <si>
    <t>Nut Torque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</si>
  <si>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</si>
  <si>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</si>
  <si>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</si>
  <si>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</si>
  <si>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</si>
  <si>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</si>
  <si>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</si>
  <si>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</si>
  <si>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mm^2</t>
  </si>
  <si>
    <t>slope</t>
  </si>
  <si>
    <t>E</t>
  </si>
  <si>
    <t>linest for bolt strain</t>
  </si>
  <si>
    <t>linest for washer out</t>
  </si>
  <si>
    <t>epsilon_{eq}</t>
  </si>
  <si>
    <t>Gauge Resistance</t>
  </si>
  <si>
    <t>Ω</t>
  </si>
  <si>
    <t xml:space="preserve">Shunt Resistance </t>
  </si>
  <si>
    <t>Number of Active Arms</t>
  </si>
  <si>
    <t>Q1</t>
  </si>
  <si>
    <t>correction factor</t>
  </si>
  <si>
    <t>epsilon (coefficient for y = ax)</t>
  </si>
  <si>
    <t>q2</t>
  </si>
  <si>
    <t>Bolt Transducer, $V_b$</t>
  </si>
  <si>
    <t>Washer Transducer, $V_w$</t>
  </si>
  <si>
    <t>Bolt Strain, $\epsilon_b$</t>
  </si>
  <si>
    <t>Torque, $T$ (Nm)</t>
  </si>
  <si>
    <t>Torque, $T$ (in-lb)</t>
  </si>
  <si>
    <t>linest for Preload vs Torque</t>
  </si>
  <si>
    <t>Torque Coeff</t>
  </si>
  <si>
    <t>Q3</t>
  </si>
  <si>
    <t>bolt stiffness</t>
  </si>
  <si>
    <t>Cross Sectional Area, $A_s$ (mm^2)</t>
  </si>
  <si>
    <t xml:space="preserve">Bolt Body Cross Sectional Area of 0.910 </t>
  </si>
  <si>
    <t>Bolt Body Cross Sectional Area of 1.471</t>
  </si>
  <si>
    <t>Threaded Section Length</t>
  </si>
  <si>
    <t>Length of section, $L$</t>
  </si>
  <si>
    <t>(in)</t>
  </si>
  <si>
    <t>(mm)</t>
  </si>
  <si>
    <t>1/k (m/MN)</t>
  </si>
  <si>
    <t>Stiffness, $k$ (MN/m)</t>
  </si>
  <si>
    <t>MN/m</t>
  </si>
  <si>
    <t>Without Gasket</t>
  </si>
  <si>
    <t>Bolt Force</t>
  </si>
  <si>
    <t>linest for boltforce vs external</t>
  </si>
  <si>
    <t>k_m, th</t>
  </si>
  <si>
    <t>k_m, exp</t>
  </si>
  <si>
    <t>k_b</t>
  </si>
  <si>
    <t>preseperation</t>
  </si>
  <si>
    <t>post seperation</t>
  </si>
  <si>
    <t>mm</t>
  </si>
  <si>
    <t>Bolt Body Cross Sectional Area of Threaded Section</t>
  </si>
  <si>
    <t>Bolt Total Length</t>
  </si>
  <si>
    <t>Err exp/th</t>
  </si>
  <si>
    <t>P_th</t>
  </si>
  <si>
    <t>kN</t>
  </si>
  <si>
    <t>Seperation point, exp</t>
  </si>
  <si>
    <t>P_exp</t>
  </si>
  <si>
    <t>Seperation point, th</t>
  </si>
  <si>
    <t>C_th</t>
  </si>
  <si>
    <t>F_i</t>
  </si>
  <si>
    <t>in-lb</t>
  </si>
  <si>
    <t>Nm</t>
  </si>
  <si>
    <t>Seperation point err</t>
  </si>
  <si>
    <t>slope err</t>
  </si>
  <si>
    <t>slope err (S_a)</t>
  </si>
  <si>
    <t>error prop for E</t>
  </si>
  <si>
    <t>95% confidence t-value</t>
  </si>
  <si>
    <t>E err</t>
  </si>
  <si>
    <t>stdev bolt</t>
  </si>
  <si>
    <t>stdev washer</t>
  </si>
  <si>
    <t>t-dist</t>
  </si>
  <si>
    <t>P_b</t>
  </si>
  <si>
    <t>B_b</t>
  </si>
  <si>
    <t>delta E_o</t>
  </si>
  <si>
    <t>Preload Err</t>
  </si>
  <si>
    <t>x</t>
  </si>
  <si>
    <t>y</t>
  </si>
  <si>
    <t>Preload, $F_i$  (kN)</t>
  </si>
  <si>
    <t>[kN/Nm]</t>
  </si>
  <si>
    <t>external load vs washer transducer (kN vs V)</t>
  </si>
  <si>
    <t>external load vs bolt strain (kN vs unitless)</t>
  </si>
  <si>
    <t>xerr</t>
  </si>
  <si>
    <t>yerr</t>
  </si>
  <si>
    <t>torque vs preload (Nm vs kN)</t>
  </si>
  <si>
    <t>without gasket postseperation (kN vs kN)</t>
  </si>
  <si>
    <t>without gasket preseperation (kN vs kN)</t>
  </si>
  <si>
    <t>with gasket preseperation (kN vs kN)</t>
  </si>
  <si>
    <t>dataset</t>
  </si>
  <si>
    <t>k_1</t>
  </si>
  <si>
    <t>k_2</t>
  </si>
  <si>
    <t>k_3</t>
  </si>
  <si>
    <t>F_sep</t>
  </si>
  <si>
    <t>max_stress</t>
  </si>
  <si>
    <t>min_stress</t>
  </si>
  <si>
    <t>mean_stress</t>
  </si>
  <si>
    <t>alternating_stress</t>
  </si>
  <si>
    <t>Torque</t>
  </si>
  <si>
    <t>%err</t>
  </si>
  <si>
    <t>gasket quadratic</t>
  </si>
  <si>
    <t>gasket linear</t>
  </si>
  <si>
    <t>0 lbs gasket</t>
  </si>
  <si>
    <t>0 lbs nogasket</t>
  </si>
  <si>
    <t>125 lbs gasket</t>
  </si>
  <si>
    <t>125 lbs nogasket</t>
  </si>
  <si>
    <t>60 lbs gasket</t>
  </si>
  <si>
    <t>60 lbs nogasket</t>
  </si>
  <si>
    <t>75 lbs gasket</t>
  </si>
  <si>
    <t>75 lbs nogasket</t>
  </si>
  <si>
    <t>mean stress with gasket (MPa vs in-lb)</t>
  </si>
  <si>
    <t>mean stress without gasket (MPa vs in-lb)</t>
  </si>
  <si>
    <t>(in-lb)</t>
  </si>
  <si>
    <t>alternating stress with gasket (MPa vs in-lb)</t>
  </si>
  <si>
    <t>alternating stress without gasket (MPa vs 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</si>
</sst>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</numFmts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11" fontId="0" fillId="0" borderId="0" xfId="0" applyNumberFormat="1"/>
    <xf numFmtId="0" fontId="3" fillId="2" borderId="0" xfId="0" applyFont="1" applyFill="1"/>
    <xf numFmtId="0" fontId="0" fillId="2" borderId="0" xfId="0" applyFill="1"/>
    <xf numFmtId="0" fontId="6" fillId="2" borderId="0" xfId="0" applyFont="1" applyFill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166" fontId="0" fillId="2" borderId="0" xfId="0" applyNumberFormat="1" applyFill="1"/>
    <xf numFmtId="165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2" fontId="0" fillId="2" borderId="0" xfId="0" applyNumberFormat="1" applyFill="1"/>
    <xf numFmtId="1" fontId="0" fillId="2" borderId="0" xfId="0" applyNumberFormat="1" applyFill="1"/>
    <xf numFmtId="1" fontId="0" fillId="0" borderId="0" xfId="0" applyNumberFormat="1" applyAlignment="1">
      <alignment wrapText="1"/>
    </xf>
    <xf numFmtId="166" fontId="0" fillId="0" borderId="0" xfId="0" quotePrefix="1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583405</xdr:colOff>
      <xdr:row>7</xdr:row>
      <xdr:rowOff>75753</xdr:rowOff>
    </xdr:from>
    <xdr:to>
      <xdr:col>18</xdr:col>
      <xdr:colOff>335703</xdr:colOff>
      <xdr:row>16</xdr:row>
      <xdr:rowOff>175596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10885-2F7B-91B3-7CBA-440B621D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0296" y="1409253"/>
          <a:ext cx="4425501" cy="1754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48" t="s">
        <v>7</v>
      </c>
      <c r="E13" s="48"/>
      <c r="G13" s="49" t="s">
        <v>9</v>
      </c>
      <c r="H13" s="49"/>
      <c r="I13" s="49"/>
      <c r="L13" s="48" t="s">
        <v>24</v>
      </c>
      <c r="M13" s="48"/>
      <c r="R13" s="3" t="s">
        <v>40</v>
      </c>
      <c r="S13" s="23" t="s">
        <v>41</v>
      </c>
      <c r="Z13" s="49" t="s">
        <v>70</v>
      </c>
      <c r="AA13" s="49"/>
      <c r="AB13" s="49" t="s">
        <v>71</v>
      </c>
      <c r="AC13" s="49"/>
      <c r="AD13" s="49" t="s">
        <v>74</v>
      </c>
      <c r="AE13" s="49"/>
      <c r="AF13" s="49" t="s">
        <v>76</v>
      </c>
      <c r="AG13" s="49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50" t="s">
        <v>16</v>
      </c>
      <c r="H14" s="50"/>
      <c r="I14" s="50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49"/>
      <c r="L50" s="49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49"/>
      <c r="L52" s="49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48"/>
      <c r="B59" s="49"/>
      <c r="C59" s="48"/>
      <c r="D59" s="48"/>
      <c r="E59" s="6"/>
      <c r="F59" s="48"/>
      <c r="G59" s="48"/>
      <c r="H59" s="48"/>
      <c r="K59" s="49"/>
      <c r="L59" s="49"/>
      <c r="M59" s="8"/>
      <c r="N59" s="8"/>
    </row>
    <row r="60" spans="1:39" x14ac:dyDescent="0.25">
      <c r="A60" s="48"/>
      <c r="B60" s="49"/>
      <c r="F60" s="48"/>
      <c r="G60" s="48"/>
      <c r="H60" s="48"/>
      <c r="M60" s="8"/>
      <c r="N60" s="8"/>
    </row>
    <row r="61" spans="1:39" x14ac:dyDescent="0.25">
      <c r="A61" s="48"/>
      <c r="C61" s="49"/>
      <c r="D61" s="49"/>
      <c r="F61" s="49"/>
      <c r="G61" s="49"/>
      <c r="H61" s="49"/>
      <c r="K61" s="49"/>
      <c r="L61" s="49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  <mergeCell ref="A59:A61"/>
    <mergeCell ref="B59:B60"/>
    <mergeCell ref="C59:D59"/>
    <mergeCell ref="F59:H60"/>
    <mergeCell ref="K59:L59"/>
    <mergeCell ref="C61:D61"/>
    <mergeCell ref="F61:H61"/>
    <mergeCell ref="K61:L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N117"/>
  <sheetViews>
    <sheetView tabSelected="1" topLeftCell="A26" zoomScale="175" zoomScaleNormal="175" workbookViewId="0">
      <selection activeCell="H18" sqref="H18"/>
    </sheetView>
  </sheetViews>
  <sheetFormatPr defaultRowHeight="12.75" x14ac:dyDescent="0.2"/>
  <cols>
    <col min="1" max="1" width="50.140625" bestFit="1" customWidth="1"/>
    <col min="2" max="2" width="16.140625" customWidth="1"/>
    <col min="3" max="3" width="11" bestFit="1" customWidth="1"/>
    <col min="4" max="4" width="11.42578125" customWidth="1"/>
    <col min="5" max="5" width="11.140625" customWidth="1"/>
    <col min="6" max="6" width="12.85546875" bestFit="1" customWidth="1"/>
    <col min="7" max="7" width="12.85546875" customWidth="1"/>
    <col min="8" max="8" width="13.85546875" bestFit="1" customWidth="1"/>
    <col min="9" max="9" width="9.85546875" bestFit="1" customWidth="1"/>
    <col min="10" max="10" width="15.28515625" customWidth="1"/>
    <col min="11" max="11" width="20.140625" customWidth="1"/>
    <col min="12" max="12" width="15.42578125" bestFit="1" customWidth="1"/>
  </cols>
  <sheetData>
    <row r="1" spans="1:10" ht="15" x14ac:dyDescent="0.2">
      <c r="A1" s="27" t="s">
        <v>81</v>
      </c>
      <c r="B1" s="28">
        <v>400</v>
      </c>
      <c r="E1" s="29" t="s">
        <v>131</v>
      </c>
      <c r="I1" s="29" t="s">
        <v>148</v>
      </c>
    </row>
    <row r="2" spans="1:10" ht="15" x14ac:dyDescent="0.2">
      <c r="A2" s="27" t="s">
        <v>82</v>
      </c>
      <c r="B2" s="28">
        <v>0.34300000000000003</v>
      </c>
      <c r="E2" s="34">
        <f>I2-(0.91+1.471)*25.4</f>
        <v>3.0225999999999971</v>
      </c>
      <c r="F2" s="29" t="s">
        <v>146</v>
      </c>
      <c r="G2" s="29"/>
      <c r="I2">
        <v>63.5</v>
      </c>
      <c r="J2" s="29" t="s">
        <v>146</v>
      </c>
    </row>
    <row r="3" spans="1:10" ht="15" x14ac:dyDescent="0.2">
      <c r="A3" s="27" t="s">
        <v>83</v>
      </c>
      <c r="B3" s="28">
        <v>5</v>
      </c>
    </row>
    <row r="4" spans="1:10" ht="15" x14ac:dyDescent="0.2">
      <c r="A4" s="27" t="s">
        <v>84</v>
      </c>
      <c r="B4" s="28">
        <v>0.375</v>
      </c>
      <c r="D4">
        <f>B4*25.4</f>
        <v>9.5249999999999986</v>
      </c>
      <c r="E4" s="29" t="s">
        <v>146</v>
      </c>
    </row>
    <row r="5" spans="1:10" ht="15" x14ac:dyDescent="0.2">
      <c r="A5" s="27" t="s">
        <v>85</v>
      </c>
      <c r="B5" s="28">
        <v>75</v>
      </c>
    </row>
    <row r="6" spans="1:10" ht="15" x14ac:dyDescent="0.2">
      <c r="A6" s="27" t="s">
        <v>101</v>
      </c>
      <c r="B6" s="28">
        <v>2</v>
      </c>
    </row>
    <row r="7" spans="1:10" ht="15" x14ac:dyDescent="0.2">
      <c r="A7" s="27" t="s">
        <v>102</v>
      </c>
      <c r="B7" s="28">
        <v>0.371</v>
      </c>
      <c r="C7" s="29" t="s">
        <v>104</v>
      </c>
      <c r="D7">
        <f>B7*25.4</f>
        <v>9.4233999999999991</v>
      </c>
      <c r="E7" s="29" t="s">
        <v>146</v>
      </c>
    </row>
    <row r="8" spans="1:10" ht="15" x14ac:dyDescent="0.2">
      <c r="A8" s="27" t="s">
        <v>103</v>
      </c>
      <c r="B8" s="28">
        <v>0.155</v>
      </c>
      <c r="C8" s="29" t="s">
        <v>104</v>
      </c>
      <c r="D8">
        <f>B8*25.4</f>
        <v>3.9369999999999998</v>
      </c>
      <c r="E8" s="29" t="s">
        <v>146</v>
      </c>
    </row>
    <row r="9" spans="1:10" ht="15" x14ac:dyDescent="0.2">
      <c r="A9" s="27" t="s">
        <v>129</v>
      </c>
      <c r="B9" s="28">
        <f>PI()/4*(B7^2-B8^2)*(25.4)^2</f>
        <v>57.570076945141288</v>
      </c>
      <c r="C9" s="29" t="s">
        <v>105</v>
      </c>
    </row>
    <row r="10" spans="1:10" ht="15" x14ac:dyDescent="0.2">
      <c r="A10" s="27" t="s">
        <v>130</v>
      </c>
      <c r="B10" s="28">
        <f>PI()/4*B7^2*25.4^2</f>
        <v>69.743724130458673</v>
      </c>
      <c r="C10" s="29" t="s">
        <v>105</v>
      </c>
    </row>
    <row r="11" spans="1:10" ht="15" x14ac:dyDescent="0.2">
      <c r="A11" s="27" t="s">
        <v>147</v>
      </c>
      <c r="B11" s="28">
        <f>PI()/4*B4^2*25.4^2</f>
        <v>71.255739248085618</v>
      </c>
      <c r="C11" s="29" t="s">
        <v>105</v>
      </c>
    </row>
    <row r="12" spans="1:10" ht="15" x14ac:dyDescent="0.2">
      <c r="A12" s="27" t="s">
        <v>111</v>
      </c>
      <c r="B12" s="28">
        <v>120</v>
      </c>
      <c r="C12" s="28" t="s">
        <v>112</v>
      </c>
    </row>
    <row r="13" spans="1:10" ht="15" x14ac:dyDescent="0.2">
      <c r="A13" s="27" t="s">
        <v>113</v>
      </c>
      <c r="B13" s="28">
        <v>175000</v>
      </c>
      <c r="C13" s="28" t="s">
        <v>112</v>
      </c>
    </row>
    <row r="14" spans="1:10" ht="15" x14ac:dyDescent="0.2">
      <c r="A14" s="27" t="s">
        <v>114</v>
      </c>
      <c r="B14" s="28">
        <v>1</v>
      </c>
    </row>
    <row r="17" spans="1:12" ht="15" x14ac:dyDescent="0.2">
      <c r="A17" s="27" t="s">
        <v>89</v>
      </c>
      <c r="H17" s="29" t="s">
        <v>108</v>
      </c>
      <c r="K17" s="29" t="s">
        <v>162</v>
      </c>
    </row>
    <row r="18" spans="1:12" ht="15" x14ac:dyDescent="0.2">
      <c r="A18" s="27" t="s">
        <v>86</v>
      </c>
      <c r="B18" s="29" t="s">
        <v>87</v>
      </c>
      <c r="C18" s="29" t="s">
        <v>88</v>
      </c>
      <c r="D18" s="29" t="s">
        <v>100</v>
      </c>
      <c r="F18" t="s">
        <v>106</v>
      </c>
      <c r="H18" s="30" cm="1">
        <f t="array" ref="H18:I22">LINEST(D19:D27,A19:A27, FALSE, TRUE)</f>
        <v>8.4713375796178328E-5</v>
      </c>
      <c r="I18">
        <v>0</v>
      </c>
      <c r="K18" s="29" t="s">
        <v>163</v>
      </c>
      <c r="L18" s="41">
        <f>-_xlfn.T.INV(0.025, COUNT(C19:C27) - 2)</f>
        <v>2.3646242515927849</v>
      </c>
    </row>
    <row r="19" spans="1:12" ht="15" x14ac:dyDescent="0.2">
      <c r="A19">
        <v>0</v>
      </c>
      <c r="B19" s="28">
        <v>6.0000000000000001E-3</v>
      </c>
      <c r="C19">
        <v>-3.0000000000000001E-3</v>
      </c>
      <c r="D19" s="30">
        <f>4*B19/($B$6*$B$3*$B$1)</f>
        <v>6.0000000000000002E-6</v>
      </c>
      <c r="F19" s="29" t="s">
        <v>161</v>
      </c>
      <c r="G19" s="29"/>
      <c r="H19">
        <v>8.2056660109804756E-7</v>
      </c>
      <c r="I19" t="e">
        <v>#N/A</v>
      </c>
      <c r="K19" s="29" t="s">
        <v>160</v>
      </c>
      <c r="L19" s="30">
        <f>L18*H19</f>
        <v>1.9403316850035058E-6</v>
      </c>
    </row>
    <row r="20" spans="1:12" ht="15" x14ac:dyDescent="0.2">
      <c r="A20">
        <v>1</v>
      </c>
      <c r="B20" s="28">
        <v>8.5000000000000006E-2</v>
      </c>
      <c r="C20">
        <v>-0.21199999999999999</v>
      </c>
      <c r="D20" s="30">
        <f t="shared" ref="D20:D27" si="0">4*B20/($B$6*$B$3*$B$1)</f>
        <v>8.5000000000000006E-5</v>
      </c>
      <c r="H20">
        <v>0.99924995413810469</v>
      </c>
      <c r="I20">
        <v>1.1495256568118845E-5</v>
      </c>
      <c r="K20" s="29" t="s">
        <v>164</v>
      </c>
      <c r="L20" s="35">
        <f>H24*L19/H18</f>
        <v>4.6965093209894402</v>
      </c>
    </row>
    <row r="21" spans="1:12" ht="15" x14ac:dyDescent="0.2">
      <c r="A21">
        <v>2</v>
      </c>
      <c r="B21" s="28">
        <v>0.16800000000000001</v>
      </c>
      <c r="C21">
        <v>-0.441</v>
      </c>
      <c r="D21" s="30">
        <f t="shared" si="0"/>
        <v>1.6800000000000002E-4</v>
      </c>
      <c r="H21">
        <v>10658.014448481304</v>
      </c>
      <c r="I21">
        <v>8</v>
      </c>
    </row>
    <row r="22" spans="1:12" ht="15" x14ac:dyDescent="0.2">
      <c r="A22">
        <v>3</v>
      </c>
      <c r="B22" s="28">
        <v>0.253</v>
      </c>
      <c r="C22">
        <v>-0.66700000000000004</v>
      </c>
      <c r="D22" s="30">
        <f t="shared" si="0"/>
        <v>2.5300000000000002E-4</v>
      </c>
      <c r="H22">
        <v>1.4083598726114649E-6</v>
      </c>
      <c r="I22">
        <v>1.0571273885350356E-9</v>
      </c>
    </row>
    <row r="23" spans="1:12" ht="15" x14ac:dyDescent="0.2">
      <c r="A23">
        <v>4</v>
      </c>
      <c r="B23" s="28">
        <v>0.33500000000000002</v>
      </c>
      <c r="C23">
        <v>-0.88800000000000001</v>
      </c>
      <c r="D23" s="30">
        <f t="shared" si="0"/>
        <v>3.3500000000000001E-4</v>
      </c>
    </row>
    <row r="24" spans="1:12" ht="15" x14ac:dyDescent="0.2">
      <c r="A24">
        <v>5</v>
      </c>
      <c r="B24" s="28">
        <v>0.41699999999999998</v>
      </c>
      <c r="C24">
        <v>-1.08</v>
      </c>
      <c r="D24" s="30">
        <f t="shared" si="0"/>
        <v>4.17E-4</v>
      </c>
      <c r="F24" s="31" t="s">
        <v>107</v>
      </c>
      <c r="G24" s="31"/>
      <c r="H24" s="40">
        <f>1/(H18*B9)</f>
        <v>205.04595276890194</v>
      </c>
      <c r="I24" s="33" t="s">
        <v>115</v>
      </c>
    </row>
    <row r="25" spans="1:12" ht="15" x14ac:dyDescent="0.2">
      <c r="A25">
        <v>6</v>
      </c>
      <c r="B25" s="28">
        <v>0.498</v>
      </c>
      <c r="C25">
        <v>-1.27</v>
      </c>
      <c r="D25" s="30">
        <f t="shared" si="0"/>
        <v>4.9799999999999996E-4</v>
      </c>
      <c r="F25" s="29"/>
      <c r="G25" s="29"/>
      <c r="H25" s="29" t="s">
        <v>109</v>
      </c>
    </row>
    <row r="26" spans="1:12" ht="15" x14ac:dyDescent="0.2">
      <c r="A26">
        <v>7</v>
      </c>
      <c r="B26" s="28">
        <v>0.58099999999999996</v>
      </c>
      <c r="C26">
        <v>-1.46</v>
      </c>
      <c r="D26" s="30">
        <f t="shared" si="0"/>
        <v>5.8099999999999992E-4</v>
      </c>
      <c r="F26" s="29" t="s">
        <v>106</v>
      </c>
      <c r="G26" s="29"/>
      <c r="H26" s="34" cm="1">
        <f t="array" ref="H26:I30">LINEST(C19:C27,A19:A27, FALSE, TRUE)</f>
        <v>-0.21141146496815286</v>
      </c>
      <c r="I26">
        <v>0</v>
      </c>
    </row>
    <row r="27" spans="1:12" ht="15" x14ac:dyDescent="0.2">
      <c r="A27">
        <v>7.5</v>
      </c>
      <c r="B27" s="28">
        <v>0.66200000000000003</v>
      </c>
      <c r="C27">
        <v>-1.5469999999999999</v>
      </c>
      <c r="D27" s="30">
        <f t="shared" si="0"/>
        <v>6.6200000000000005E-4</v>
      </c>
      <c r="H27">
        <v>1.8919918738836679E-3</v>
      </c>
      <c r="I27" t="e">
        <v>#N/A</v>
      </c>
    </row>
    <row r="28" spans="1:12" ht="15" x14ac:dyDescent="0.2">
      <c r="B28" s="28"/>
      <c r="D28" s="30"/>
      <c r="H28">
        <v>0.99935968559059274</v>
      </c>
      <c r="I28">
        <v>2.6504773635662494E-2</v>
      </c>
    </row>
    <row r="29" spans="1:12" ht="15" x14ac:dyDescent="0.2">
      <c r="B29" s="28"/>
      <c r="D29" s="30"/>
      <c r="H29">
        <v>12485.862206545746</v>
      </c>
      <c r="I29">
        <v>8</v>
      </c>
    </row>
    <row r="30" spans="1:12" x14ac:dyDescent="0.2">
      <c r="H30">
        <v>8.7713559757961779</v>
      </c>
      <c r="I30">
        <v>5.6200242038216769E-3</v>
      </c>
    </row>
    <row r="32" spans="1:12" x14ac:dyDescent="0.2">
      <c r="F32" s="29" t="s">
        <v>117</v>
      </c>
      <c r="G32" s="29"/>
      <c r="H32" s="30">
        <f>4*H26/(B6*B3*B1)</f>
        <v>-2.1141146496815285E-4</v>
      </c>
    </row>
    <row r="33" spans="1:13" x14ac:dyDescent="0.2">
      <c r="F33" s="31" t="s">
        <v>110</v>
      </c>
      <c r="G33" s="31"/>
      <c r="H33" s="32">
        <f>B12/(B14*B6*(B13+B12))</f>
        <v>3.4262220191868436E-4</v>
      </c>
      <c r="I33" s="33" t="s">
        <v>118</v>
      </c>
    </row>
    <row r="34" spans="1:13" x14ac:dyDescent="0.2">
      <c r="F34" s="29" t="s">
        <v>116</v>
      </c>
      <c r="G34" s="29"/>
      <c r="H34">
        <f>H18/H32</f>
        <v>-0.40070379252581972</v>
      </c>
    </row>
    <row r="35" spans="1:13" s="37" customFormat="1" ht="38.25" x14ac:dyDescent="0.2">
      <c r="A35" s="36" t="s">
        <v>86</v>
      </c>
      <c r="B35" s="36" t="s">
        <v>123</v>
      </c>
      <c r="C35" s="36" t="s">
        <v>122</v>
      </c>
      <c r="D35" s="36" t="s">
        <v>119</v>
      </c>
      <c r="E35" s="36" t="s">
        <v>120</v>
      </c>
      <c r="F35" s="36" t="s">
        <v>121</v>
      </c>
      <c r="G35" s="36" t="s">
        <v>174</v>
      </c>
      <c r="H35" s="36" t="s">
        <v>171</v>
      </c>
      <c r="I35" s="38" t="s">
        <v>194</v>
      </c>
      <c r="K35" s="36" t="s">
        <v>124</v>
      </c>
    </row>
    <row r="36" spans="1:13" x14ac:dyDescent="0.2">
      <c r="A36">
        <v>0</v>
      </c>
      <c r="B36">
        <v>0</v>
      </c>
      <c r="C36" s="42">
        <f>B36*0.11298482933333</f>
        <v>0</v>
      </c>
      <c r="D36">
        <v>-2E-3</v>
      </c>
      <c r="E36">
        <v>-1E-3</v>
      </c>
      <c r="F36" s="30">
        <f>4*D36/($B$6*$B$3*$B$1)</f>
        <v>-1.9999999999999999E-6</v>
      </c>
      <c r="G36" s="41">
        <f t="shared" ref="G36:G41" si="1">$H$24*F36*$B$9</f>
        <v>-2.3609022556390982E-2</v>
      </c>
      <c r="H36" s="34">
        <f>ABS(G36*SQRT($J$89^2/D36^2+$L$20^2/$H$24^2))</f>
        <v>0.36624031823579389</v>
      </c>
      <c r="I36">
        <f>H36/G36*100</f>
        <v>-1551.2726855210374</v>
      </c>
      <c r="J36" s="29" t="s">
        <v>175</v>
      </c>
      <c r="K36" cm="1">
        <f t="array" ref="K36:L40">LINEST(G36:G41,C36:C41, FALSE, TRUE)</f>
        <v>0.63576255935467008</v>
      </c>
      <c r="L36">
        <v>0</v>
      </c>
    </row>
    <row r="37" spans="1:13" x14ac:dyDescent="0.2">
      <c r="A37">
        <v>0</v>
      </c>
      <c r="B37">
        <v>25</v>
      </c>
      <c r="C37" s="34">
        <f t="shared" ref="C37:C41" si="2">B37*0.11298482933333</f>
        <v>2.82462073333325</v>
      </c>
      <c r="D37" s="34">
        <v>0.14000000000000001</v>
      </c>
      <c r="E37">
        <v>-0.311</v>
      </c>
      <c r="F37" s="30">
        <f t="shared" ref="F37:F41" si="3">4*D37/($B$6*$B$3*$B$1)</f>
        <v>1.4000000000000001E-4</v>
      </c>
      <c r="G37" s="35">
        <f t="shared" si="1"/>
        <v>1.6526315789473691</v>
      </c>
      <c r="H37" s="34">
        <f t="shared" ref="H37:H41" si="4">ABS(G37*SQRT($J$89^2/D37^2+$L$20^2/$H$24^2))</f>
        <v>0.36819088270515959</v>
      </c>
      <c r="I37">
        <f t="shared" ref="I37:I41" si="5">H37/G37*100</f>
        <v>22.279066150949138</v>
      </c>
      <c r="K37">
        <v>6.6107414151537879E-3</v>
      </c>
      <c r="L37" t="e">
        <v>#N/A</v>
      </c>
    </row>
    <row r="38" spans="1:13" x14ac:dyDescent="0.2">
      <c r="A38">
        <v>0</v>
      </c>
      <c r="B38">
        <v>50</v>
      </c>
      <c r="C38" s="34">
        <f t="shared" si="2"/>
        <v>5.6492414666665001</v>
      </c>
      <c r="D38">
        <v>0.29399999999999998</v>
      </c>
      <c r="E38">
        <v>-0.61499999999999999</v>
      </c>
      <c r="F38" s="30">
        <f t="shared" si="3"/>
        <v>2.9399999999999999E-4</v>
      </c>
      <c r="G38" s="35">
        <f t="shared" si="1"/>
        <v>3.4705263157894746</v>
      </c>
      <c r="H38" s="34">
        <f t="shared" si="4"/>
        <v>0.37476731072216912</v>
      </c>
      <c r="I38">
        <f t="shared" si="5"/>
        <v>10.79857279909192</v>
      </c>
      <c r="K38">
        <v>0.99945968661223894</v>
      </c>
      <c r="L38">
        <v>0.138481467466676</v>
      </c>
    </row>
    <row r="39" spans="1:13" x14ac:dyDescent="0.2">
      <c r="A39">
        <v>0</v>
      </c>
      <c r="B39">
        <v>75</v>
      </c>
      <c r="C39" s="34">
        <f t="shared" si="2"/>
        <v>8.4738621999997505</v>
      </c>
      <c r="D39">
        <v>0.44700000000000001</v>
      </c>
      <c r="E39">
        <v>-0.90700000000000003</v>
      </c>
      <c r="F39" s="30">
        <f t="shared" si="3"/>
        <v>4.4700000000000002E-4</v>
      </c>
      <c r="G39" s="35">
        <f t="shared" si="1"/>
        <v>5.276616541353385</v>
      </c>
      <c r="H39" s="34">
        <f t="shared" si="4"/>
        <v>0.3856664510786752</v>
      </c>
      <c r="I39">
        <f t="shared" si="5"/>
        <v>7.3089724837150412</v>
      </c>
      <c r="K39">
        <v>9248.8887861332005</v>
      </c>
      <c r="L39">
        <v>5</v>
      </c>
    </row>
    <row r="40" spans="1:13" x14ac:dyDescent="0.2">
      <c r="A40">
        <v>0</v>
      </c>
      <c r="B40">
        <v>100</v>
      </c>
      <c r="C40" s="34">
        <f t="shared" si="2"/>
        <v>11.298482933333</v>
      </c>
      <c r="D40">
        <v>0.60199999999999998</v>
      </c>
      <c r="E40">
        <v>-1.2030000000000001</v>
      </c>
      <c r="F40" s="30">
        <f t="shared" si="3"/>
        <v>6.02E-4</v>
      </c>
      <c r="G40" s="35">
        <f t="shared" si="1"/>
        <v>7.106315789473685</v>
      </c>
      <c r="H40" s="34">
        <f t="shared" si="4"/>
        <v>0.40078053164198424</v>
      </c>
      <c r="I40">
        <f t="shared" si="5"/>
        <v>5.6397793669069021</v>
      </c>
      <c r="K40">
        <v>177.36702081529876</v>
      </c>
      <c r="L40">
        <v>9.5885584158620224E-2</v>
      </c>
    </row>
    <row r="41" spans="1:13" x14ac:dyDescent="0.2">
      <c r="A41">
        <v>0</v>
      </c>
      <c r="B41">
        <v>125</v>
      </c>
      <c r="C41" s="34">
        <f t="shared" si="2"/>
        <v>14.12310366666625</v>
      </c>
      <c r="D41">
        <v>0.77800000000000002</v>
      </c>
      <c r="E41">
        <v>-1.5189999999999999</v>
      </c>
      <c r="F41" s="30">
        <f t="shared" si="3"/>
        <v>7.7800000000000005E-4</v>
      </c>
      <c r="G41" s="35">
        <f t="shared" si="1"/>
        <v>9.1839097744360938</v>
      </c>
      <c r="H41" s="34">
        <f t="shared" si="4"/>
        <v>0.42235133578555073</v>
      </c>
      <c r="I41">
        <f t="shared" si="5"/>
        <v>4.5988184352723973</v>
      </c>
      <c r="K41" s="31" t="s">
        <v>125</v>
      </c>
      <c r="L41" s="40">
        <f>1/(K36*B7*25.4)</f>
        <v>0.16691579121627786</v>
      </c>
      <c r="M41" s="33" t="s">
        <v>126</v>
      </c>
    </row>
    <row r="43" spans="1:13" ht="25.5" customHeight="1" x14ac:dyDescent="0.2">
      <c r="B43" s="51" t="s">
        <v>132</v>
      </c>
      <c r="C43" s="51"/>
    </row>
    <row r="44" spans="1:13" s="37" customFormat="1" ht="51" x14ac:dyDescent="0.2">
      <c r="A44" s="36" t="s">
        <v>127</v>
      </c>
      <c r="B44" s="36" t="s">
        <v>133</v>
      </c>
      <c r="C44" s="36" t="s">
        <v>134</v>
      </c>
      <c r="D44" s="36" t="s">
        <v>128</v>
      </c>
      <c r="E44" s="36" t="s">
        <v>136</v>
      </c>
      <c r="F44" s="36" t="s">
        <v>135</v>
      </c>
      <c r="G44" s="36"/>
    </row>
    <row r="45" spans="1:13" s="37" customFormat="1" x14ac:dyDescent="0.2">
      <c r="A45" s="29" t="s">
        <v>185</v>
      </c>
      <c r="B45" s="29">
        <v>0.91</v>
      </c>
      <c r="C45" s="37">
        <f>25.4*B45</f>
        <v>23.114000000000001</v>
      </c>
      <c r="D45" s="37">
        <f>B9</f>
        <v>57.570076945141288</v>
      </c>
      <c r="E45" s="46">
        <f>D45*$H$24/C45</f>
        <v>510.70828407871807</v>
      </c>
      <c r="F45" s="37">
        <f>1/E45</f>
        <v>1.9580649681528663E-3</v>
      </c>
    </row>
    <row r="46" spans="1:13" x14ac:dyDescent="0.2">
      <c r="A46" s="29" t="s">
        <v>186</v>
      </c>
      <c r="B46" s="29">
        <v>1.4710000000000001</v>
      </c>
      <c r="C46" s="37">
        <f>25.4*B46</f>
        <v>37.363399999999999</v>
      </c>
      <c r="D46" s="37">
        <f>B10</f>
        <v>69.743724130458673</v>
      </c>
      <c r="E46" s="46">
        <f t="shared" ref="E46" si="6">D46*$H$24/C46</f>
        <v>382.74537017459215</v>
      </c>
      <c r="F46" s="37">
        <f t="shared" ref="F46:F47" si="7">1/E46</f>
        <v>2.6127030603762562E-3</v>
      </c>
      <c r="G46" s="37"/>
    </row>
    <row r="47" spans="1:13" x14ac:dyDescent="0.2">
      <c r="A47" s="29" t="s">
        <v>187</v>
      </c>
      <c r="B47" s="34">
        <f>E2/25.4</f>
        <v>0.1189999999999999</v>
      </c>
      <c r="C47" s="37">
        <f>25.4*B47</f>
        <v>3.0225999999999971</v>
      </c>
      <c r="D47" s="37">
        <f t="shared" ref="D47" si="8">B11</f>
        <v>71.255739248085618</v>
      </c>
      <c r="E47" s="46">
        <f>D47*$H$24/C47</f>
        <v>4833.8188792351521</v>
      </c>
      <c r="F47" s="37">
        <f t="shared" si="7"/>
        <v>2.0687576944509523E-4</v>
      </c>
      <c r="G47" s="37"/>
    </row>
    <row r="49" spans="1:12" x14ac:dyDescent="0.2">
      <c r="A49" s="39" t="s">
        <v>143</v>
      </c>
      <c r="B49" s="45">
        <f>(SUM(F45:F47))^(-1)</f>
        <v>209.30819506134233</v>
      </c>
      <c r="C49" s="31" t="s">
        <v>137</v>
      </c>
    </row>
    <row r="50" spans="1:12" x14ac:dyDescent="0.2">
      <c r="A50" s="31" t="s">
        <v>141</v>
      </c>
      <c r="B50" s="44">
        <f>PI()*H24*B7*25.4/(2*LN(5*(63.5+0.5*B7*25.4)/(63.5+2.5*B7*25.4)))</f>
        <v>2222.7742744028305</v>
      </c>
      <c r="C50" s="31" t="s">
        <v>137</v>
      </c>
    </row>
    <row r="53" spans="1:12" x14ac:dyDescent="0.2">
      <c r="A53" s="29" t="s">
        <v>95</v>
      </c>
    </row>
    <row r="54" spans="1:12" x14ac:dyDescent="0.2">
      <c r="A54" s="29" t="s">
        <v>96</v>
      </c>
      <c r="B54" s="29">
        <v>60</v>
      </c>
      <c r="C54" t="s">
        <v>157</v>
      </c>
      <c r="D54">
        <f>B54*0.11298482933333</f>
        <v>6.7790897599997999</v>
      </c>
      <c r="E54" s="29" t="s">
        <v>158</v>
      </c>
    </row>
    <row r="55" spans="1:12" x14ac:dyDescent="0.2">
      <c r="A55" s="29" t="s">
        <v>97</v>
      </c>
    </row>
    <row r="56" spans="1:12" ht="15" x14ac:dyDescent="0.2">
      <c r="B56" s="27" t="s">
        <v>86</v>
      </c>
      <c r="C56" s="29" t="s">
        <v>87</v>
      </c>
      <c r="D56" s="29" t="s">
        <v>88</v>
      </c>
      <c r="E56" s="29" t="s">
        <v>100</v>
      </c>
      <c r="F56" s="29" t="s">
        <v>139</v>
      </c>
      <c r="G56" s="29"/>
      <c r="H56" s="29"/>
      <c r="I56" s="29" t="s">
        <v>144</v>
      </c>
      <c r="K56" s="29" t="s">
        <v>145</v>
      </c>
    </row>
    <row r="57" spans="1:12" ht="15" x14ac:dyDescent="0.2">
      <c r="A57" s="29" t="s">
        <v>138</v>
      </c>
      <c r="B57" s="29" t="s">
        <v>98</v>
      </c>
      <c r="C57" s="28">
        <v>0.38600000000000001</v>
      </c>
      <c r="D57">
        <v>-0.73099999999999998</v>
      </c>
      <c r="E57">
        <f>4*C57/($B$6*$B$3*$B$1)</f>
        <v>3.86E-4</v>
      </c>
      <c r="F57">
        <f>E57*$H$24*$B$9</f>
        <v>4.5565413533834596</v>
      </c>
      <c r="I57" s="29" t="s">
        <v>140</v>
      </c>
      <c r="L57" s="29"/>
    </row>
    <row r="58" spans="1:12" ht="15" x14ac:dyDescent="0.2">
      <c r="A58" s="29" t="s">
        <v>138</v>
      </c>
      <c r="B58" s="29" t="s">
        <v>98</v>
      </c>
      <c r="C58" s="28">
        <v>0.38200000000000001</v>
      </c>
      <c r="D58">
        <v>-0.72</v>
      </c>
      <c r="E58">
        <f t="shared" ref="E58:E80" si="9">4*C58/($B$6*$B$3*$B$1)</f>
        <v>3.8200000000000002E-4</v>
      </c>
      <c r="F58">
        <f t="shared" ref="F58:F80" si="10">E58*$H$24*$B$9</f>
        <v>4.5093233082706785</v>
      </c>
      <c r="I58" cm="1">
        <f t="array" ref="I58:J62">LINEST(F60:F64,B60:B64, TRUE, TRUE)</f>
        <v>0.11568421052631556</v>
      </c>
      <c r="J58">
        <v>4.502240601503761</v>
      </c>
      <c r="K58" cm="1">
        <f t="array" ref="K58:L62">LINEST(F65:F68,B65:B68, TRUE, TRUE)</f>
        <v>0.86873199949025115</v>
      </c>
      <c r="L58">
        <v>0.7506868867082952</v>
      </c>
    </row>
    <row r="59" spans="1:12" ht="15" x14ac:dyDescent="0.2">
      <c r="A59" s="29" t="s">
        <v>138</v>
      </c>
      <c r="B59" s="29" t="s">
        <v>98</v>
      </c>
      <c r="C59" s="28">
        <v>0.38100000000000001</v>
      </c>
      <c r="D59">
        <v>-0.71499999999999997</v>
      </c>
      <c r="E59">
        <f t="shared" si="9"/>
        <v>3.8099999999999999E-4</v>
      </c>
      <c r="F59">
        <f t="shared" si="10"/>
        <v>4.4975187969924821</v>
      </c>
      <c r="I59">
        <v>2.7261351056473327E-3</v>
      </c>
      <c r="J59">
        <v>6.6776399787242761E-3</v>
      </c>
      <c r="K59">
        <v>3.9693879291837403E-2</v>
      </c>
      <c r="L59">
        <v>0.25590241003667386</v>
      </c>
    </row>
    <row r="60" spans="1:12" ht="15" x14ac:dyDescent="0.2">
      <c r="A60" s="29" t="s">
        <v>138</v>
      </c>
      <c r="B60">
        <v>0</v>
      </c>
      <c r="C60" s="28">
        <v>0.38200000000000001</v>
      </c>
      <c r="D60">
        <v>-0.72</v>
      </c>
      <c r="E60">
        <f t="shared" si="9"/>
        <v>3.8200000000000002E-4</v>
      </c>
      <c r="F60">
        <f t="shared" si="10"/>
        <v>4.5093233082706785</v>
      </c>
      <c r="I60">
        <v>0.99833679833679823</v>
      </c>
      <c r="J60">
        <v>8.620796143189325E-3</v>
      </c>
      <c r="K60">
        <v>0.99584189129715028</v>
      </c>
      <c r="L60">
        <v>7.6223618034726659E-2</v>
      </c>
    </row>
    <row r="61" spans="1:12" ht="15" x14ac:dyDescent="0.2">
      <c r="A61" s="29" t="s">
        <v>138</v>
      </c>
      <c r="B61">
        <v>1</v>
      </c>
      <c r="C61" s="28">
        <v>0.39100000000000001</v>
      </c>
      <c r="D61">
        <v>-0.751</v>
      </c>
      <c r="E61">
        <f t="shared" si="9"/>
        <v>3.9100000000000002E-4</v>
      </c>
      <c r="F61">
        <f t="shared" si="10"/>
        <v>4.615563909774437</v>
      </c>
      <c r="I61">
        <v>1800.7499999998913</v>
      </c>
      <c r="J61">
        <v>3</v>
      </c>
      <c r="K61">
        <v>478.98790650406357</v>
      </c>
      <c r="L61">
        <v>2</v>
      </c>
    </row>
    <row r="62" spans="1:12" ht="15" x14ac:dyDescent="0.2">
      <c r="A62" s="29" t="s">
        <v>138</v>
      </c>
      <c r="B62">
        <v>2</v>
      </c>
      <c r="C62" s="28">
        <v>0.4</v>
      </c>
      <c r="D62">
        <v>-0.78300000000000003</v>
      </c>
      <c r="E62">
        <f t="shared" si="9"/>
        <v>4.0000000000000002E-4</v>
      </c>
      <c r="F62">
        <f t="shared" si="10"/>
        <v>4.7218045112781963</v>
      </c>
      <c r="I62">
        <v>0.13382836565096901</v>
      </c>
      <c r="J62">
        <v>2.2295437842728379E-4</v>
      </c>
      <c r="K62">
        <v>2.7829388705850908</v>
      </c>
      <c r="L62">
        <v>1.1620079892607816E-2</v>
      </c>
    </row>
    <row r="63" spans="1:12" ht="15" x14ac:dyDescent="0.2">
      <c r="A63" s="29" t="s">
        <v>138</v>
      </c>
      <c r="B63">
        <v>3</v>
      </c>
      <c r="C63" s="28">
        <v>0.41099999999999998</v>
      </c>
      <c r="D63">
        <v>-0.81799999999999995</v>
      </c>
      <c r="E63">
        <f t="shared" si="9"/>
        <v>4.1099999999999996E-4</v>
      </c>
      <c r="F63">
        <f t="shared" si="10"/>
        <v>4.8516541353383467</v>
      </c>
    </row>
    <row r="64" spans="1:12" ht="15" x14ac:dyDescent="0.2">
      <c r="A64" s="29" t="s">
        <v>138</v>
      </c>
      <c r="B64">
        <v>4</v>
      </c>
      <c r="C64" s="28">
        <v>0.42099999999999999</v>
      </c>
      <c r="D64">
        <v>-0.85499999999999998</v>
      </c>
      <c r="E64">
        <f t="shared" si="9"/>
        <v>4.2099999999999999E-4</v>
      </c>
      <c r="F64">
        <f t="shared" si="10"/>
        <v>4.9696992481203015</v>
      </c>
      <c r="I64" s="31" t="s">
        <v>142</v>
      </c>
      <c r="J64" s="45">
        <f>B49*(1-I58)/I58</f>
        <v>1599.9983136581809</v>
      </c>
    </row>
    <row r="65" spans="1:14" ht="15" x14ac:dyDescent="0.2">
      <c r="A65" s="29" t="s">
        <v>138</v>
      </c>
      <c r="B65">
        <v>5</v>
      </c>
      <c r="C65" s="28">
        <v>0.436</v>
      </c>
      <c r="D65">
        <v>-0.90100000000000002</v>
      </c>
      <c r="E65">
        <f t="shared" si="9"/>
        <v>4.3599999999999997E-4</v>
      </c>
      <c r="F65">
        <f t="shared" si="10"/>
        <v>5.1467669172932338</v>
      </c>
      <c r="I65" s="31" t="s">
        <v>149</v>
      </c>
      <c r="J65" s="32">
        <f>ABS(J64-B50)/B50*100</f>
        <v>28.017957914865843</v>
      </c>
      <c r="L65" s="29" t="s">
        <v>195</v>
      </c>
    </row>
    <row r="66" spans="1:14" ht="15" x14ac:dyDescent="0.2">
      <c r="A66" s="29" t="s">
        <v>138</v>
      </c>
      <c r="B66">
        <v>6</v>
      </c>
      <c r="C66" s="28">
        <v>0.498</v>
      </c>
      <c r="D66">
        <v>-1.0680000000000001</v>
      </c>
      <c r="E66">
        <f t="shared" si="9"/>
        <v>4.9799999999999996E-4</v>
      </c>
      <c r="F66">
        <f t="shared" si="10"/>
        <v>5.8786466165413538</v>
      </c>
      <c r="L66" cm="1">
        <f t="array" ref="L66:N70">LINEST(F72:F80,B72:B80^{1,2}, TRUE, TRUE)</f>
        <v>4.7547767283952734E-2</v>
      </c>
      <c r="M66">
        <v>0.11901225968819949</v>
      </c>
      <c r="N66">
        <v>3.79398283630902</v>
      </c>
    </row>
    <row r="67" spans="1:14" ht="15" x14ac:dyDescent="0.2">
      <c r="A67" s="29" t="s">
        <v>138</v>
      </c>
      <c r="B67">
        <v>7</v>
      </c>
      <c r="C67" s="28">
        <v>0.57799999999999996</v>
      </c>
      <c r="D67">
        <v>-1.226</v>
      </c>
      <c r="E67">
        <f t="shared" si="9"/>
        <v>5.7799999999999995E-4</v>
      </c>
      <c r="F67">
        <f t="shared" si="10"/>
        <v>6.8230075187969934</v>
      </c>
      <c r="I67" s="29" t="s">
        <v>152</v>
      </c>
      <c r="L67">
        <v>3.7332453860941753E-3</v>
      </c>
      <c r="M67">
        <v>2.9709926733736368E-2</v>
      </c>
      <c r="N67">
        <v>4.8237239666924926E-2</v>
      </c>
    </row>
    <row r="68" spans="1:14" ht="15" x14ac:dyDescent="0.2">
      <c r="A68" s="29" t="s">
        <v>138</v>
      </c>
      <c r="B68">
        <v>7.5</v>
      </c>
      <c r="C68" s="28">
        <v>0.61899999999999999</v>
      </c>
      <c r="D68">
        <v>-1.3</v>
      </c>
      <c r="E68">
        <f t="shared" si="9"/>
        <v>6.1899999999999998E-4</v>
      </c>
      <c r="F68">
        <f t="shared" si="10"/>
        <v>7.3069924812030083</v>
      </c>
      <c r="I68" s="29" t="s">
        <v>153</v>
      </c>
      <c r="J68" s="35">
        <f>(J58-L58)/(K58-I58)</f>
        <v>4.9818268770923018</v>
      </c>
      <c r="K68" s="29" t="s">
        <v>151</v>
      </c>
      <c r="L68">
        <v>0.9985119721671587</v>
      </c>
      <c r="M68">
        <v>5.8403179350029387E-2</v>
      </c>
      <c r="N68" t="e">
        <v>#N/A</v>
      </c>
    </row>
    <row r="69" spans="1:14" ht="15" x14ac:dyDescent="0.2">
      <c r="A69" s="29" t="s">
        <v>99</v>
      </c>
      <c r="B69" s="29" t="s">
        <v>98</v>
      </c>
      <c r="C69" s="28">
        <v>0.32700000000000001</v>
      </c>
      <c r="D69">
        <v>-0.54</v>
      </c>
      <c r="E69">
        <f t="shared" si="9"/>
        <v>3.2700000000000003E-4</v>
      </c>
      <c r="F69">
        <f t="shared" si="10"/>
        <v>3.8600751879699255</v>
      </c>
      <c r="I69" s="29" t="s">
        <v>188</v>
      </c>
      <c r="J69" s="35">
        <f>I58*J68+J58</f>
        <v>5.0785593107589637</v>
      </c>
      <c r="K69" s="29" t="s">
        <v>151</v>
      </c>
      <c r="L69">
        <v>2013.0913215391849</v>
      </c>
      <c r="M69">
        <v>6</v>
      </c>
      <c r="N69" t="e">
        <v>#N/A</v>
      </c>
    </row>
    <row r="70" spans="1:14" ht="15" x14ac:dyDescent="0.2">
      <c r="A70" s="29" t="s">
        <v>99</v>
      </c>
      <c r="B70" s="29" t="s">
        <v>98</v>
      </c>
      <c r="C70" s="28">
        <v>0.32300000000000001</v>
      </c>
      <c r="D70">
        <v>-0.53400000000000003</v>
      </c>
      <c r="E70">
        <f t="shared" si="9"/>
        <v>3.2299999999999999E-4</v>
      </c>
      <c r="F70">
        <f t="shared" si="10"/>
        <v>3.8128571428571436</v>
      </c>
      <c r="L70">
        <v>13.733032631083148</v>
      </c>
      <c r="M70">
        <v>2.0465588149150192E-2</v>
      </c>
      <c r="N70" t="e">
        <v>#N/A</v>
      </c>
    </row>
    <row r="71" spans="1:14" ht="15" x14ac:dyDescent="0.2">
      <c r="A71" s="29" t="s">
        <v>99</v>
      </c>
      <c r="B71" s="29" t="s">
        <v>98</v>
      </c>
      <c r="C71" s="28">
        <v>0.32100000000000001</v>
      </c>
      <c r="D71">
        <v>-0.53</v>
      </c>
      <c r="E71">
        <f t="shared" si="9"/>
        <v>3.21E-4</v>
      </c>
      <c r="F71">
        <f t="shared" si="10"/>
        <v>3.7892481203007526</v>
      </c>
      <c r="I71" s="29" t="s">
        <v>154</v>
      </c>
    </row>
    <row r="72" spans="1:14" ht="15" x14ac:dyDescent="0.2">
      <c r="A72" s="29" t="s">
        <v>99</v>
      </c>
      <c r="B72">
        <v>0</v>
      </c>
      <c r="C72" s="28">
        <v>0.315</v>
      </c>
      <c r="D72">
        <v>-0.52800000000000002</v>
      </c>
      <c r="E72">
        <f t="shared" si="9"/>
        <v>3.1500000000000001E-4</v>
      </c>
      <c r="F72">
        <f t="shared" si="10"/>
        <v>3.7184210526315797</v>
      </c>
      <c r="I72" s="29" t="s">
        <v>155</v>
      </c>
      <c r="J72" s="34">
        <f>B49/(B49+B50)</f>
        <v>8.6061306591900366E-2</v>
      </c>
      <c r="L72" s="29" t="s">
        <v>196</v>
      </c>
    </row>
    <row r="73" spans="1:14" ht="15" x14ac:dyDescent="0.2">
      <c r="A73" s="29" t="s">
        <v>99</v>
      </c>
      <c r="B73">
        <v>1</v>
      </c>
      <c r="C73" s="28">
        <v>0.34399999999999997</v>
      </c>
      <c r="D73">
        <v>-0.59299999999999997</v>
      </c>
      <c r="E73">
        <f t="shared" si="9"/>
        <v>3.4399999999999996E-4</v>
      </c>
      <c r="F73">
        <f t="shared" si="10"/>
        <v>4.0607518796992483</v>
      </c>
      <c r="I73" s="29" t="s">
        <v>156</v>
      </c>
      <c r="J73" s="35">
        <f>D54/(L41*D4)</f>
        <v>4.2639192803827752</v>
      </c>
      <c r="L73" cm="1">
        <f t="array" ref="L73:M77">LINEST(F72:F80,B72:B80, TRUE, TRUE)</f>
        <v>0.48417159499539375</v>
      </c>
      <c r="M73">
        <v>3.3904376058723891</v>
      </c>
    </row>
    <row r="74" spans="1:14" ht="15" x14ac:dyDescent="0.2">
      <c r="A74" s="29" t="s">
        <v>99</v>
      </c>
      <c r="B74">
        <v>2</v>
      </c>
      <c r="C74" s="28">
        <v>0.35799999999999998</v>
      </c>
      <c r="D74">
        <v>-0.67400000000000004</v>
      </c>
      <c r="E74">
        <f t="shared" si="9"/>
        <v>3.5799999999999997E-4</v>
      </c>
      <c r="F74">
        <f t="shared" si="10"/>
        <v>4.226015037593986</v>
      </c>
      <c r="H74" s="28"/>
      <c r="I74" s="29" t="s">
        <v>150</v>
      </c>
      <c r="J74" s="35">
        <f>J73/(1-J72)</f>
        <v>4.6654324968806344</v>
      </c>
      <c r="L74">
        <v>3.8182466585021134E-2</v>
      </c>
      <c r="M74">
        <v>0.17829844614323084</v>
      </c>
    </row>
    <row r="75" spans="1:14" ht="15" x14ac:dyDescent="0.2">
      <c r="A75" s="29" t="s">
        <v>99</v>
      </c>
      <c r="B75">
        <v>3</v>
      </c>
      <c r="C75" s="28">
        <v>0.38900000000000001</v>
      </c>
      <c r="D75">
        <v>-0.76600000000000001</v>
      </c>
      <c r="E75">
        <f t="shared" si="9"/>
        <v>3.8900000000000002E-4</v>
      </c>
      <c r="F75">
        <f t="shared" si="10"/>
        <v>4.5919548872180469</v>
      </c>
      <c r="L75">
        <v>0.95828225428595459</v>
      </c>
      <c r="M75">
        <v>0.28629778238463244</v>
      </c>
    </row>
    <row r="76" spans="1:14" ht="15" x14ac:dyDescent="0.2">
      <c r="A76" s="29" t="s">
        <v>99</v>
      </c>
      <c r="B76">
        <v>4</v>
      </c>
      <c r="C76" s="28">
        <v>0.42599999999999999</v>
      </c>
      <c r="D76">
        <v>-0.85599999999999998</v>
      </c>
      <c r="E76">
        <f t="shared" si="9"/>
        <v>4.26E-4</v>
      </c>
      <c r="F76">
        <f t="shared" si="10"/>
        <v>5.0287218045112789</v>
      </c>
      <c r="I76" s="29" t="s">
        <v>159</v>
      </c>
      <c r="L76">
        <v>160.79430144623734</v>
      </c>
      <c r="M76">
        <v>7</v>
      </c>
    </row>
    <row r="77" spans="1:14" ht="15" x14ac:dyDescent="0.2">
      <c r="A77" s="29" t="s">
        <v>99</v>
      </c>
      <c r="B77">
        <v>5</v>
      </c>
      <c r="C77" s="28">
        <v>0.46899999999999997</v>
      </c>
      <c r="D77">
        <v>-0.94099999999999995</v>
      </c>
      <c r="E77">
        <f t="shared" si="9"/>
        <v>4.6899999999999996E-4</v>
      </c>
      <c r="F77">
        <f t="shared" si="10"/>
        <v>5.5363157894736847</v>
      </c>
      <c r="I77" s="31" t="s">
        <v>149</v>
      </c>
      <c r="J77" s="44">
        <f>ABS(J68-J74)/J74*100</f>
        <v>6.7816730908273239</v>
      </c>
      <c r="L77">
        <v>13.179733277843789</v>
      </c>
      <c r="M77">
        <v>0.57376494138850842</v>
      </c>
    </row>
    <row r="78" spans="1:14" ht="15" x14ac:dyDescent="0.2">
      <c r="A78" s="29" t="s">
        <v>99</v>
      </c>
      <c r="B78">
        <v>6</v>
      </c>
      <c r="C78" s="28">
        <v>0.52400000000000002</v>
      </c>
      <c r="D78">
        <v>-1.036</v>
      </c>
      <c r="E78">
        <f t="shared" si="9"/>
        <v>5.2400000000000005E-4</v>
      </c>
      <c r="F78">
        <f t="shared" si="10"/>
        <v>6.1855639097744382</v>
      </c>
    </row>
    <row r="79" spans="1:14" ht="15" x14ac:dyDescent="0.2">
      <c r="A79" s="29" t="s">
        <v>99</v>
      </c>
      <c r="B79">
        <v>7</v>
      </c>
      <c r="C79" s="28">
        <v>0.58899999999999997</v>
      </c>
      <c r="D79">
        <v>-1.1479999999999999</v>
      </c>
      <c r="E79">
        <f t="shared" si="9"/>
        <v>5.8900000000000001E-4</v>
      </c>
      <c r="F79">
        <f t="shared" si="10"/>
        <v>6.9528571428571446</v>
      </c>
      <c r="L79">
        <f>B49*(1-L73)/L73</f>
        <v>222.99348728607754</v>
      </c>
    </row>
    <row r="80" spans="1:14" ht="15" x14ac:dyDescent="0.2">
      <c r="A80" s="29" t="s">
        <v>99</v>
      </c>
      <c r="B80">
        <v>7.5</v>
      </c>
      <c r="C80" s="28">
        <v>0.627</v>
      </c>
      <c r="D80">
        <v>-1.212</v>
      </c>
      <c r="E80">
        <f t="shared" si="9"/>
        <v>6.2699999999999995E-4</v>
      </c>
      <c r="F80">
        <f t="shared" si="10"/>
        <v>7.401428571428573</v>
      </c>
    </row>
    <row r="83" spans="1:10" x14ac:dyDescent="0.2">
      <c r="A83" s="29" t="s">
        <v>92</v>
      </c>
      <c r="B83" s="29"/>
    </row>
    <row r="84" spans="1:10" ht="15" x14ac:dyDescent="0.2">
      <c r="A84" s="29"/>
      <c r="B84" s="28" t="s">
        <v>42</v>
      </c>
      <c r="C84" s="28" t="s">
        <v>43</v>
      </c>
      <c r="D84" s="28" t="s">
        <v>44</v>
      </c>
      <c r="E84" s="28" t="s">
        <v>93</v>
      </c>
      <c r="F84" s="28" t="s">
        <v>94</v>
      </c>
      <c r="G84" s="28"/>
      <c r="I84" s="29" t="s">
        <v>165</v>
      </c>
      <c r="J84" s="34">
        <f>_xlfn.STDEV.S(B85:F85)</f>
        <v>2.4973986465920889E-2</v>
      </c>
    </row>
    <row r="85" spans="1:10" x14ac:dyDescent="0.2">
      <c r="A85" s="29" t="s">
        <v>90</v>
      </c>
      <c r="B85">
        <v>0.372</v>
      </c>
      <c r="C85">
        <v>0.32100000000000001</v>
      </c>
      <c r="D85">
        <v>0.35399999999999998</v>
      </c>
      <c r="E85">
        <v>0.312</v>
      </c>
      <c r="F85">
        <v>0.32700000000000001</v>
      </c>
      <c r="I85" s="29" t="s">
        <v>166</v>
      </c>
      <c r="J85" s="34">
        <f>_xlfn.STDEV.S(B86:F86)</f>
        <v>2.4076959940989198E-2</v>
      </c>
    </row>
    <row r="86" spans="1:10" x14ac:dyDescent="0.2">
      <c r="A86" s="29" t="s">
        <v>91</v>
      </c>
      <c r="B86">
        <v>-0.70099999999999996</v>
      </c>
      <c r="C86">
        <v>-0.68400000000000005</v>
      </c>
      <c r="D86">
        <v>-0.71799999999999997</v>
      </c>
      <c r="E86">
        <v>-0.65400000000000003</v>
      </c>
      <c r="F86">
        <v>-0.67900000000000005</v>
      </c>
      <c r="I86" s="29" t="s">
        <v>167</v>
      </c>
      <c r="J86">
        <f>-_xlfn.T.INV(0.025, COUNT(B85:F85)-1)</f>
        <v>2.7764451051977934</v>
      </c>
    </row>
    <row r="87" spans="1:10" x14ac:dyDescent="0.2">
      <c r="I87" s="29" t="s">
        <v>168</v>
      </c>
      <c r="J87" s="34">
        <f>J86*J84/SQRT(5)</f>
        <v>3.1009299886362019E-2</v>
      </c>
    </row>
    <row r="88" spans="1:10" x14ac:dyDescent="0.2">
      <c r="I88" s="29" t="s">
        <v>169</v>
      </c>
      <c r="J88">
        <v>1E-3</v>
      </c>
    </row>
    <row r="89" spans="1:10" x14ac:dyDescent="0.2">
      <c r="I89" s="29" t="s">
        <v>170</v>
      </c>
      <c r="J89" s="34">
        <f>SQRT(J88^2+J87^2)</f>
        <v>3.1025419891474983E-2</v>
      </c>
    </row>
    <row r="90" spans="1:10" x14ac:dyDescent="0.2">
      <c r="C90" s="29"/>
      <c r="D90" s="29" t="s">
        <v>90</v>
      </c>
      <c r="E90" s="29" t="s">
        <v>91</v>
      </c>
    </row>
    <row r="91" spans="1:10" ht="15" x14ac:dyDescent="0.2">
      <c r="C91" s="28" t="s">
        <v>42</v>
      </c>
      <c r="D91">
        <v>0.372</v>
      </c>
      <c r="E91">
        <v>-0.70099999999999996</v>
      </c>
    </row>
    <row r="92" spans="1:10" ht="15" x14ac:dyDescent="0.2">
      <c r="C92" s="28" t="s">
        <v>43</v>
      </c>
      <c r="D92">
        <v>0.32100000000000001</v>
      </c>
      <c r="E92">
        <v>-0.68400000000000005</v>
      </c>
    </row>
    <row r="93" spans="1:10" ht="15" x14ac:dyDescent="0.2">
      <c r="C93" s="28" t="s">
        <v>44</v>
      </c>
      <c r="D93">
        <v>0.35399999999999998</v>
      </c>
      <c r="E93">
        <v>-0.71799999999999997</v>
      </c>
    </row>
    <row r="94" spans="1:10" ht="15" x14ac:dyDescent="0.2">
      <c r="C94" s="28" t="s">
        <v>93</v>
      </c>
      <c r="D94">
        <v>0.312</v>
      </c>
      <c r="E94">
        <v>-0.65400000000000003</v>
      </c>
    </row>
    <row r="95" spans="1:10" ht="15" x14ac:dyDescent="0.2">
      <c r="C95" s="28" t="s">
        <v>94</v>
      </c>
      <c r="D95">
        <v>0.32700000000000001</v>
      </c>
      <c r="E95">
        <v>-0.67900000000000005</v>
      </c>
    </row>
    <row r="97" spans="1:6" x14ac:dyDescent="0.2">
      <c r="B97" s="29" t="s">
        <v>193</v>
      </c>
      <c r="C97" s="29" t="s">
        <v>189</v>
      </c>
      <c r="D97" s="29" t="s">
        <v>190</v>
      </c>
      <c r="E97" s="29" t="s">
        <v>191</v>
      </c>
      <c r="F97" s="29" t="s">
        <v>192</v>
      </c>
    </row>
    <row r="98" spans="1:6" x14ac:dyDescent="0.2">
      <c r="A98" s="29" t="s">
        <v>99</v>
      </c>
      <c r="B98">
        <v>0</v>
      </c>
      <c r="C98" s="43">
        <v>105.035205565084</v>
      </c>
      <c r="D98" s="43">
        <v>61.8044323267154</v>
      </c>
      <c r="E98" s="43">
        <v>83.419818945899806</v>
      </c>
      <c r="F98" s="43">
        <v>21.615386619184299</v>
      </c>
    </row>
    <row r="99" spans="1:6" x14ac:dyDescent="0.2">
      <c r="A99" s="29" t="s">
        <v>99</v>
      </c>
      <c r="B99">
        <v>60</v>
      </c>
      <c r="C99" s="43">
        <v>110.299627123354</v>
      </c>
      <c r="D99" s="43">
        <v>88.863678267925295</v>
      </c>
      <c r="E99" s="43">
        <v>99.581652695640003</v>
      </c>
      <c r="F99" s="43">
        <v>10.717974427714701</v>
      </c>
    </row>
    <row r="100" spans="1:6" x14ac:dyDescent="0.2">
      <c r="A100" s="29" t="s">
        <v>99</v>
      </c>
      <c r="B100">
        <v>75</v>
      </c>
      <c r="C100" s="43">
        <v>124.101056958531</v>
      </c>
      <c r="D100" s="43">
        <v>110.488170977873</v>
      </c>
      <c r="E100" s="43">
        <v>117.294613968202</v>
      </c>
      <c r="F100" s="43">
        <v>6.8064429903292103</v>
      </c>
    </row>
    <row r="101" spans="1:6" x14ac:dyDescent="0.2">
      <c r="A101" s="29" t="s">
        <v>99</v>
      </c>
      <c r="B101">
        <v>125</v>
      </c>
      <c r="C101" s="43">
        <v>174.58436501076301</v>
      </c>
      <c r="D101" s="43">
        <v>167.25016449481899</v>
      </c>
      <c r="E101" s="43">
        <v>170.917264752791</v>
      </c>
      <c r="F101" s="43">
        <v>3.6671002579717298</v>
      </c>
    </row>
    <row r="102" spans="1:6" x14ac:dyDescent="0.2">
      <c r="A102" s="29" t="s">
        <v>95</v>
      </c>
      <c r="B102">
        <v>0</v>
      </c>
      <c r="C102" s="43">
        <v>105.32974792490199</v>
      </c>
      <c r="D102" s="43">
        <v>62.097869488848403</v>
      </c>
      <c r="E102" s="43">
        <v>83.713808706875596</v>
      </c>
      <c r="F102" s="43">
        <v>21.615939218027101</v>
      </c>
    </row>
    <row r="103" spans="1:6" x14ac:dyDescent="0.2">
      <c r="A103" s="29" t="s">
        <v>95</v>
      </c>
      <c r="B103">
        <v>60</v>
      </c>
      <c r="C103" s="43">
        <v>106.346728690221</v>
      </c>
      <c r="D103" s="43">
        <v>84.153188351143797</v>
      </c>
      <c r="E103" s="43">
        <v>95.249958520682696</v>
      </c>
      <c r="F103" s="43">
        <v>11.0967701695389</v>
      </c>
    </row>
    <row r="104" spans="1:6" x14ac:dyDescent="0.2">
      <c r="A104" s="29" t="s">
        <v>95</v>
      </c>
      <c r="B104">
        <v>75</v>
      </c>
      <c r="C104" s="43">
        <v>108.671256739653</v>
      </c>
      <c r="D104" s="43">
        <v>101.337497072508</v>
      </c>
      <c r="E104" s="43">
        <v>105.00437690608</v>
      </c>
      <c r="F104" s="43">
        <v>3.6668798335724802</v>
      </c>
    </row>
    <row r="105" spans="1:6" x14ac:dyDescent="0.2">
      <c r="A105" s="29" t="s">
        <v>95</v>
      </c>
      <c r="B105">
        <v>125</v>
      </c>
      <c r="C105" s="43">
        <v>166.651631257677</v>
      </c>
      <c r="D105" s="43">
        <v>163.258071527808</v>
      </c>
      <c r="E105" s="43">
        <v>164.954851392742</v>
      </c>
      <c r="F105" s="43">
        <v>1.69677986493434</v>
      </c>
    </row>
    <row r="108" spans="1:6" x14ac:dyDescent="0.2">
      <c r="B108" t="s">
        <v>193</v>
      </c>
      <c r="C108" t="s">
        <v>189</v>
      </c>
      <c r="D108" t="s">
        <v>190</v>
      </c>
      <c r="E108" t="s">
        <v>191</v>
      </c>
      <c r="F108" t="s">
        <v>192</v>
      </c>
    </row>
    <row r="109" spans="1:6" x14ac:dyDescent="0.2">
      <c r="B109" t="s">
        <v>207</v>
      </c>
    </row>
    <row r="110" spans="1:6" x14ac:dyDescent="0.2">
      <c r="A110" t="s">
        <v>197</v>
      </c>
      <c r="B110">
        <v>0</v>
      </c>
      <c r="C110" s="47">
        <v>105.035205565084</v>
      </c>
      <c r="D110" s="47">
        <v>61.8044323267154</v>
      </c>
      <c r="E110" s="34">
        <v>83.419818945899806</v>
      </c>
      <c r="F110" s="47">
        <v>21.615386619184299</v>
      </c>
    </row>
    <row r="111" spans="1:6" x14ac:dyDescent="0.2">
      <c r="A111" t="s">
        <v>201</v>
      </c>
      <c r="B111">
        <v>60</v>
      </c>
      <c r="C111" s="47">
        <v>110.299627123354</v>
      </c>
      <c r="D111" s="34">
        <v>88.863678267925295</v>
      </c>
      <c r="E111" s="47">
        <v>99.581652695640003</v>
      </c>
      <c r="F111" s="47">
        <v>10.717974427714701</v>
      </c>
    </row>
    <row r="112" spans="1:6" x14ac:dyDescent="0.2">
      <c r="A112" t="s">
        <v>203</v>
      </c>
      <c r="B112">
        <v>75</v>
      </c>
      <c r="C112" s="47">
        <v>124.101056958531</v>
      </c>
      <c r="D112" s="47">
        <v>110.488170977873</v>
      </c>
      <c r="E112" s="47">
        <v>117.294613968202</v>
      </c>
      <c r="F112" s="47">
        <v>6.8064429903292103</v>
      </c>
    </row>
    <row r="113" spans="1:6" x14ac:dyDescent="0.2">
      <c r="A113" t="s">
        <v>199</v>
      </c>
      <c r="B113">
        <v>125</v>
      </c>
      <c r="C113" s="47">
        <v>174.58436501076301</v>
      </c>
      <c r="D113" s="47">
        <v>167.25016449481899</v>
      </c>
      <c r="E113" s="47">
        <v>170.917264752791</v>
      </c>
      <c r="F113" s="47">
        <v>3.6671002579717298</v>
      </c>
    </row>
    <row r="114" spans="1:6" x14ac:dyDescent="0.2">
      <c r="A114" t="s">
        <v>198</v>
      </c>
      <c r="B114">
        <v>0</v>
      </c>
      <c r="C114" s="47">
        <v>105.32974792490199</v>
      </c>
      <c r="D114" s="47">
        <v>62.097869488848403</v>
      </c>
      <c r="E114" s="47">
        <v>83.713808706875596</v>
      </c>
      <c r="F114" s="47">
        <v>21.615939218027101</v>
      </c>
    </row>
    <row r="115" spans="1:6" x14ac:dyDescent="0.2">
      <c r="A115" t="s">
        <v>202</v>
      </c>
      <c r="B115">
        <v>60</v>
      </c>
      <c r="C115" s="47">
        <v>106.346728690221</v>
      </c>
      <c r="D115" s="47">
        <v>84.153188351143797</v>
      </c>
      <c r="E115" s="47">
        <v>95.249958520682696</v>
      </c>
      <c r="F115" s="47">
        <v>11.0967701695389</v>
      </c>
    </row>
    <row r="116" spans="1:6" x14ac:dyDescent="0.2">
      <c r="A116" t="s">
        <v>204</v>
      </c>
      <c r="B116">
        <v>75</v>
      </c>
      <c r="C116" s="47">
        <v>108.671256739653</v>
      </c>
      <c r="D116" s="47">
        <v>101.337497072508</v>
      </c>
      <c r="E116" s="47">
        <v>105.00437690608</v>
      </c>
      <c r="F116" s="47">
        <v>3.6668798335724802</v>
      </c>
    </row>
    <row r="117" spans="1:6" x14ac:dyDescent="0.2">
      <c r="A117" t="s">
        <v>200</v>
      </c>
      <c r="B117">
        <v>125</v>
      </c>
      <c r="C117" s="47">
        <v>166.651631257677</v>
      </c>
      <c r="D117" s="47">
        <v>163.258071527808</v>
      </c>
      <c r="E117" s="47">
        <v>164.954851392742</v>
      </c>
      <c r="F117" s="47">
        <v>1.69677986493434</v>
      </c>
    </row>
  </sheetData>
  <mergeCells count="1">
    <mergeCell ref="B43:C43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CD16-957B-44A8-B9AF-BD221A4F681B}">
  <dimension ref="A1:F59"/>
  <sheetViews>
    <sheetView topLeftCell="A37" zoomScale="220" zoomScaleNormal="220" workbookViewId="0">
      <selection activeCell="A44" sqref="A44"/>
    </sheetView>
  </sheetViews>
  <sheetFormatPr defaultRowHeight="12.75" x14ac:dyDescent="0.2"/>
  <cols>
    <col min="1" max="1" width="48.85546875" customWidth="1"/>
  </cols>
  <sheetData>
    <row r="1" spans="1:5" x14ac:dyDescent="0.2">
      <c r="A1" s="29" t="s">
        <v>184</v>
      </c>
      <c r="B1" s="29" t="s">
        <v>172</v>
      </c>
      <c r="C1" s="29" t="s">
        <v>173</v>
      </c>
      <c r="D1" s="29" t="s">
        <v>178</v>
      </c>
      <c r="E1" s="29" t="s">
        <v>179</v>
      </c>
    </row>
    <row r="2" spans="1:5" x14ac:dyDescent="0.2">
      <c r="A2" s="29" t="s">
        <v>177</v>
      </c>
      <c r="B2">
        <v>0</v>
      </c>
      <c r="C2">
        <v>6.0000000000000002E-6</v>
      </c>
    </row>
    <row r="3" spans="1:5" x14ac:dyDescent="0.2">
      <c r="A3" s="29" t="s">
        <v>177</v>
      </c>
      <c r="B3">
        <v>1</v>
      </c>
      <c r="C3">
        <v>8.5000000000000006E-5</v>
      </c>
    </row>
    <row r="4" spans="1:5" x14ac:dyDescent="0.2">
      <c r="A4" s="29" t="s">
        <v>177</v>
      </c>
      <c r="B4">
        <v>2</v>
      </c>
      <c r="C4">
        <v>1.6800000000000002E-4</v>
      </c>
    </row>
    <row r="5" spans="1:5" x14ac:dyDescent="0.2">
      <c r="A5" s="29" t="s">
        <v>177</v>
      </c>
      <c r="B5">
        <v>3</v>
      </c>
      <c r="C5">
        <v>2.5300000000000002E-4</v>
      </c>
    </row>
    <row r="6" spans="1:5" x14ac:dyDescent="0.2">
      <c r="A6" s="29" t="s">
        <v>177</v>
      </c>
      <c r="B6">
        <v>4</v>
      </c>
      <c r="C6">
        <v>3.3500000000000001E-4</v>
      </c>
    </row>
    <row r="7" spans="1:5" x14ac:dyDescent="0.2">
      <c r="A7" s="29" t="s">
        <v>177</v>
      </c>
      <c r="B7">
        <v>5</v>
      </c>
      <c r="C7">
        <v>4.17E-4</v>
      </c>
    </row>
    <row r="8" spans="1:5" x14ac:dyDescent="0.2">
      <c r="A8" s="29" t="s">
        <v>177</v>
      </c>
      <c r="B8">
        <v>6</v>
      </c>
      <c r="C8">
        <v>4.9799999999999996E-4</v>
      </c>
    </row>
    <row r="9" spans="1:5" x14ac:dyDescent="0.2">
      <c r="A9" s="29" t="s">
        <v>177</v>
      </c>
      <c r="B9">
        <v>7</v>
      </c>
      <c r="C9">
        <v>5.8099999999999992E-4</v>
      </c>
    </row>
    <row r="10" spans="1:5" x14ac:dyDescent="0.2">
      <c r="A10" s="29" t="s">
        <v>177</v>
      </c>
      <c r="B10">
        <v>7.5</v>
      </c>
      <c r="C10">
        <v>6.6200000000000005E-4</v>
      </c>
    </row>
    <row r="11" spans="1:5" x14ac:dyDescent="0.2">
      <c r="A11" s="29" t="s">
        <v>176</v>
      </c>
      <c r="B11">
        <v>0</v>
      </c>
      <c r="C11">
        <v>-3.0000000000000001E-3</v>
      </c>
    </row>
    <row r="12" spans="1:5" x14ac:dyDescent="0.2">
      <c r="A12" s="29" t="s">
        <v>176</v>
      </c>
      <c r="B12">
        <v>1</v>
      </c>
      <c r="C12">
        <v>-0.21199999999999999</v>
      </c>
    </row>
    <row r="13" spans="1:5" x14ac:dyDescent="0.2">
      <c r="A13" s="29" t="s">
        <v>176</v>
      </c>
      <c r="B13">
        <v>2</v>
      </c>
      <c r="C13">
        <v>-0.441</v>
      </c>
    </row>
    <row r="14" spans="1:5" x14ac:dyDescent="0.2">
      <c r="A14" s="29" t="s">
        <v>176</v>
      </c>
      <c r="B14">
        <v>3</v>
      </c>
      <c r="C14">
        <v>-0.66700000000000004</v>
      </c>
    </row>
    <row r="15" spans="1:5" x14ac:dyDescent="0.2">
      <c r="A15" s="29" t="s">
        <v>176</v>
      </c>
      <c r="B15">
        <v>4</v>
      </c>
      <c r="C15">
        <v>-0.88800000000000001</v>
      </c>
    </row>
    <row r="16" spans="1:5" x14ac:dyDescent="0.2">
      <c r="A16" s="29" t="s">
        <v>176</v>
      </c>
      <c r="B16">
        <v>5</v>
      </c>
      <c r="C16">
        <v>-1.08</v>
      </c>
    </row>
    <row r="17" spans="1:5" x14ac:dyDescent="0.2">
      <c r="A17" s="29" t="s">
        <v>176</v>
      </c>
      <c r="B17">
        <v>6</v>
      </c>
      <c r="C17">
        <v>-1.27</v>
      </c>
    </row>
    <row r="18" spans="1:5" x14ac:dyDescent="0.2">
      <c r="A18" s="29" t="s">
        <v>176</v>
      </c>
      <c r="B18">
        <v>7</v>
      </c>
      <c r="C18">
        <v>-1.46</v>
      </c>
    </row>
    <row r="19" spans="1:5" x14ac:dyDescent="0.2">
      <c r="A19" s="29" t="s">
        <v>176</v>
      </c>
      <c r="B19">
        <v>7.5</v>
      </c>
      <c r="C19">
        <v>-1.5469999999999999</v>
      </c>
    </row>
    <row r="20" spans="1:5" x14ac:dyDescent="0.2">
      <c r="A20" s="29" t="s">
        <v>180</v>
      </c>
      <c r="B20">
        <v>0</v>
      </c>
      <c r="C20">
        <v>-2.3609022556390982E-2</v>
      </c>
      <c r="E20">
        <v>0.36624031823579389</v>
      </c>
    </row>
    <row r="21" spans="1:5" x14ac:dyDescent="0.2">
      <c r="A21" s="29" t="s">
        <v>180</v>
      </c>
      <c r="B21">
        <v>2.82462073333325</v>
      </c>
      <c r="C21">
        <v>1.6526315789473691</v>
      </c>
      <c r="E21">
        <v>0.36819088270515959</v>
      </c>
    </row>
    <row r="22" spans="1:5" x14ac:dyDescent="0.2">
      <c r="A22" s="29" t="s">
        <v>180</v>
      </c>
      <c r="B22">
        <v>5.6492414666665001</v>
      </c>
      <c r="C22">
        <v>3.4705263157894746</v>
      </c>
      <c r="E22">
        <v>0.37476731072216912</v>
      </c>
    </row>
    <row r="23" spans="1:5" x14ac:dyDescent="0.2">
      <c r="A23" s="29" t="s">
        <v>180</v>
      </c>
      <c r="B23">
        <v>8.4738621999997505</v>
      </c>
      <c r="C23">
        <v>5.276616541353385</v>
      </c>
      <c r="E23">
        <v>0.3856664510786752</v>
      </c>
    </row>
    <row r="24" spans="1:5" x14ac:dyDescent="0.2">
      <c r="A24" s="29" t="s">
        <v>180</v>
      </c>
      <c r="B24">
        <v>11.298482933333</v>
      </c>
      <c r="C24">
        <v>7.106315789473685</v>
      </c>
      <c r="E24">
        <v>0.40078053164198424</v>
      </c>
    </row>
    <row r="25" spans="1:5" x14ac:dyDescent="0.2">
      <c r="A25" s="29" t="s">
        <v>180</v>
      </c>
      <c r="B25">
        <v>14.12310366666625</v>
      </c>
      <c r="C25">
        <v>9.1839097744360938</v>
      </c>
      <c r="E25">
        <v>0.42235133578555073</v>
      </c>
    </row>
    <row r="26" spans="1:5" x14ac:dyDescent="0.2">
      <c r="A26" s="29" t="s">
        <v>182</v>
      </c>
      <c r="B26">
        <v>0</v>
      </c>
      <c r="C26">
        <v>4.5093233082706785</v>
      </c>
    </row>
    <row r="27" spans="1:5" x14ac:dyDescent="0.2">
      <c r="A27" s="29" t="s">
        <v>182</v>
      </c>
      <c r="B27">
        <v>1</v>
      </c>
      <c r="C27">
        <v>4.615563909774437</v>
      </c>
    </row>
    <row r="28" spans="1:5" x14ac:dyDescent="0.2">
      <c r="A28" s="29" t="s">
        <v>182</v>
      </c>
      <c r="B28">
        <v>2</v>
      </c>
      <c r="C28">
        <v>4.7218045112781963</v>
      </c>
    </row>
    <row r="29" spans="1:5" x14ac:dyDescent="0.2">
      <c r="A29" s="29" t="s">
        <v>182</v>
      </c>
      <c r="B29">
        <v>3</v>
      </c>
      <c r="C29">
        <v>4.8516541353383467</v>
      </c>
    </row>
    <row r="30" spans="1:5" x14ac:dyDescent="0.2">
      <c r="A30" s="29" t="s">
        <v>182</v>
      </c>
      <c r="B30">
        <v>4</v>
      </c>
      <c r="C30">
        <v>4.9696992481203015</v>
      </c>
    </row>
    <row r="31" spans="1:5" x14ac:dyDescent="0.2">
      <c r="A31" s="29" t="s">
        <v>181</v>
      </c>
      <c r="B31">
        <v>5</v>
      </c>
      <c r="C31">
        <v>5.1467669172932338</v>
      </c>
    </row>
    <row r="32" spans="1:5" x14ac:dyDescent="0.2">
      <c r="A32" s="29" t="s">
        <v>181</v>
      </c>
      <c r="B32">
        <v>6</v>
      </c>
      <c r="C32">
        <v>5.8786466165413538</v>
      </c>
    </row>
    <row r="33" spans="1:6" x14ac:dyDescent="0.2">
      <c r="A33" s="29" t="s">
        <v>181</v>
      </c>
      <c r="B33">
        <v>7</v>
      </c>
      <c r="C33">
        <v>6.8230075187969934</v>
      </c>
    </row>
    <row r="34" spans="1:6" x14ac:dyDescent="0.2">
      <c r="A34" s="29" t="s">
        <v>181</v>
      </c>
      <c r="B34">
        <v>7.5</v>
      </c>
      <c r="C34">
        <v>7.3069924812030083</v>
      </c>
    </row>
    <row r="35" spans="1:6" x14ac:dyDescent="0.2">
      <c r="A35" s="29" t="s">
        <v>183</v>
      </c>
      <c r="B35">
        <v>0</v>
      </c>
      <c r="C35">
        <v>3.7184210526315797</v>
      </c>
    </row>
    <row r="36" spans="1:6" x14ac:dyDescent="0.2">
      <c r="A36" s="29" t="s">
        <v>183</v>
      </c>
      <c r="B36">
        <v>1</v>
      </c>
      <c r="C36">
        <v>4.0607518796992483</v>
      </c>
    </row>
    <row r="37" spans="1:6" x14ac:dyDescent="0.2">
      <c r="A37" s="29" t="s">
        <v>183</v>
      </c>
      <c r="B37">
        <v>2</v>
      </c>
      <c r="C37">
        <v>4.226015037593986</v>
      </c>
    </row>
    <row r="38" spans="1:6" x14ac:dyDescent="0.2">
      <c r="A38" s="29" t="s">
        <v>183</v>
      </c>
      <c r="B38">
        <v>3</v>
      </c>
      <c r="C38">
        <v>4.5919548872180469</v>
      </c>
    </row>
    <row r="39" spans="1:6" x14ac:dyDescent="0.2">
      <c r="A39" s="29" t="s">
        <v>183</v>
      </c>
      <c r="B39">
        <v>4</v>
      </c>
      <c r="C39">
        <v>5.0287218045112789</v>
      </c>
    </row>
    <row r="40" spans="1:6" x14ac:dyDescent="0.2">
      <c r="A40" s="29" t="s">
        <v>183</v>
      </c>
      <c r="B40">
        <v>5</v>
      </c>
      <c r="C40">
        <v>5.5363157894736847</v>
      </c>
    </row>
    <row r="41" spans="1:6" x14ac:dyDescent="0.2">
      <c r="A41" s="29" t="s">
        <v>183</v>
      </c>
      <c r="B41">
        <v>6</v>
      </c>
      <c r="C41">
        <v>6.1855639097744382</v>
      </c>
    </row>
    <row r="42" spans="1:6" x14ac:dyDescent="0.2">
      <c r="A42" s="29" t="s">
        <v>183</v>
      </c>
      <c r="B42">
        <v>7</v>
      </c>
      <c r="C42">
        <v>6.9528571428571446</v>
      </c>
    </row>
    <row r="43" spans="1:6" x14ac:dyDescent="0.2">
      <c r="A43" s="29" t="s">
        <v>183</v>
      </c>
      <c r="B43">
        <v>7.5</v>
      </c>
      <c r="C43">
        <v>7.401428571428573</v>
      </c>
    </row>
    <row r="44" spans="1:6" x14ac:dyDescent="0.2">
      <c r="A44" s="29" t="s">
        <v>205</v>
      </c>
      <c r="B44">
        <v>0</v>
      </c>
      <c r="C44" s="34">
        <v>83.419818945899806</v>
      </c>
    </row>
    <row r="45" spans="1:6" x14ac:dyDescent="0.2">
      <c r="A45" s="29" t="s">
        <v>205</v>
      </c>
      <c r="B45">
        <v>60</v>
      </c>
      <c r="C45" s="47">
        <v>99.581652695640003</v>
      </c>
    </row>
    <row r="46" spans="1:6" x14ac:dyDescent="0.2">
      <c r="A46" s="29" t="s">
        <v>205</v>
      </c>
      <c r="B46">
        <v>75</v>
      </c>
      <c r="C46" s="47">
        <v>117.294613968202</v>
      </c>
      <c r="F46" s="47"/>
    </row>
    <row r="47" spans="1:6" x14ac:dyDescent="0.2">
      <c r="A47" s="29" t="s">
        <v>205</v>
      </c>
      <c r="B47">
        <v>125</v>
      </c>
      <c r="C47" s="47">
        <v>170.917264752791</v>
      </c>
      <c r="F47" s="47"/>
    </row>
    <row r="48" spans="1:6" x14ac:dyDescent="0.2">
      <c r="A48" s="29" t="s">
        <v>206</v>
      </c>
      <c r="B48">
        <v>0</v>
      </c>
      <c r="C48" s="47">
        <v>83.713808706875596</v>
      </c>
      <c r="F48" s="47"/>
    </row>
    <row r="49" spans="1:6" x14ac:dyDescent="0.2">
      <c r="A49" s="29" t="s">
        <v>206</v>
      </c>
      <c r="B49">
        <v>60</v>
      </c>
      <c r="C49" s="47">
        <v>95.249958520682696</v>
      </c>
      <c r="F49" s="47"/>
    </row>
    <row r="50" spans="1:6" x14ac:dyDescent="0.2">
      <c r="A50" s="29" t="s">
        <v>206</v>
      </c>
      <c r="B50">
        <v>75</v>
      </c>
      <c r="C50" s="47">
        <v>105.00437690608</v>
      </c>
      <c r="F50" s="47"/>
    </row>
    <row r="51" spans="1:6" x14ac:dyDescent="0.2">
      <c r="A51" s="29" t="s">
        <v>206</v>
      </c>
      <c r="B51">
        <v>125</v>
      </c>
      <c r="C51" s="47">
        <v>164.954851392742</v>
      </c>
      <c r="F51" s="47"/>
    </row>
    <row r="52" spans="1:6" x14ac:dyDescent="0.2">
      <c r="A52" s="29" t="s">
        <v>208</v>
      </c>
      <c r="B52">
        <v>0</v>
      </c>
      <c r="C52" s="47">
        <v>21.615386619184299</v>
      </c>
      <c r="F52" s="47"/>
    </row>
    <row r="53" spans="1:6" x14ac:dyDescent="0.2">
      <c r="A53" s="29" t="s">
        <v>208</v>
      </c>
      <c r="B53">
        <v>60</v>
      </c>
      <c r="C53" s="47">
        <v>10.717974427714701</v>
      </c>
      <c r="F53" s="47"/>
    </row>
    <row r="54" spans="1:6" x14ac:dyDescent="0.2">
      <c r="A54" s="29" t="s">
        <v>208</v>
      </c>
      <c r="B54">
        <v>75</v>
      </c>
      <c r="C54" s="47">
        <v>6.8064429903292103</v>
      </c>
    </row>
    <row r="55" spans="1:6" x14ac:dyDescent="0.2">
      <c r="A55" s="29" t="s">
        <v>208</v>
      </c>
      <c r="B55">
        <v>125</v>
      </c>
      <c r="C55" s="47">
        <v>3.6671002579717298</v>
      </c>
    </row>
    <row r="56" spans="1:6" x14ac:dyDescent="0.2">
      <c r="A56" s="29" t="s">
        <v>209</v>
      </c>
      <c r="B56">
        <v>0</v>
      </c>
      <c r="C56" s="47">
        <v>21.615939218027101</v>
      </c>
    </row>
    <row r="57" spans="1:6" x14ac:dyDescent="0.2">
      <c r="A57" s="29" t="s">
        <v>209</v>
      </c>
      <c r="B57">
        <v>60</v>
      </c>
      <c r="C57" s="47">
        <v>11.0967701695389</v>
      </c>
    </row>
    <row r="58" spans="1:6" x14ac:dyDescent="0.2">
      <c r="A58" s="29" t="s">
        <v>209</v>
      </c>
      <c r="B58">
        <v>75</v>
      </c>
      <c r="C58" s="47">
        <v>3.6668798335724802</v>
      </c>
    </row>
    <row r="59" spans="1:6" x14ac:dyDescent="0.2">
      <c r="A59" s="29" t="s">
        <v>209</v>
      </c>
      <c r="B59">
        <v>125</v>
      </c>
      <c r="C59" s="47">
        <v>1.69677986493434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analysis</vt:lpstr>
      <vt:lpstr>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2024-03-20T12:45:29Z</dcterms:modified>
</cp:coreProperties>
</file>